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21.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codeName="ThisWorkbook"/>
  <mc:AlternateContent xmlns:mc="http://schemas.openxmlformats.org/markup-compatibility/2006">
    <mc:Choice Requires="x15">
      <x15ac:absPath xmlns:x15ac="http://schemas.microsoft.com/office/spreadsheetml/2010/11/ac" url="C:\Users\Alexandra\Dropbox\Dropbox DTF\DTF Tools\2_Design Adaptation\2.3_Adaptation of technical drawings and BoQ\Bar Bending schedule\"/>
    </mc:Choice>
  </mc:AlternateContent>
  <workbookProtection workbookAlgorithmName="SHA-512" workbookHashValue="sJJw76YMAWiFwm/YbmwJqtDksAbefb8NE4WeAkAmWGHmxSxIaIfYVPtEGqs2SmzrSE16p4fJHq2nuVGmHqSXiw==" workbookSaltValue="8EzpdcIk5z22sLdpKq1p7A==" workbookSpinCount="100000" lockStructure="1"/>
  <bookViews>
    <workbookView xWindow="-15" yWindow="-15" windowWidth="12270" windowHeight="3735"/>
  </bookViews>
  <sheets>
    <sheet name="SCHEDULE" sheetId="1" r:id="rId1"/>
    <sheet name="Shape Codes" sheetId="8" r:id="rId2"/>
    <sheet name="Database" sheetId="4" r:id="rId3"/>
    <sheet name="Help" sheetId="10" r:id="rId4"/>
    <sheet name="Setup" sheetId="2" r:id="rId5"/>
    <sheet name="About" sheetId="7" r:id="rId6"/>
    <sheet name="More" sheetId="13" r:id="rId7"/>
    <sheet name="page" sheetId="11" state="hidden" r:id="rId8"/>
    <sheet name="Info" sheetId="12" state="hidden" r:id="rId9"/>
    <sheet name="check" sheetId="6" state="hidden" r:id="rId10"/>
    <sheet name="schedule nos" sheetId="3" state="hidden" r:id="rId11"/>
  </sheets>
  <definedNames>
    <definedName name="A" hidden="1">SCHEDULE!$K$10:$K$32</definedName>
    <definedName name="B" hidden="1">SCHEDULE!$L$10:$L$32</definedName>
    <definedName name="bargroup1" hidden="1">OR(SCHEDULE!$J1=20,SCHEDULE!$J1=32,SCHEDULE!$J1=33,SCHEDULE!$J1=34,SCHEDULE!$J1=35,SCHEDULE!$J1=99)</definedName>
    <definedName name="bargroup2" hidden="1">OR(SCHEDULE!$J1=37,SCHEDULE!$J1=61,SCHEDULE!$J1=82,SCHEDULE!$J1=77,SCHEDULE!$J1=79)</definedName>
    <definedName name="bargroup3" hidden="1">OR(SCHEDULE!$J1=38,SCHEDULE!$J1=62,SCHEDULE!$J1=39,SCHEDULE!$J1=54,SCHEDULE!$J1=78,SCHEDULE!$J1=87)</definedName>
    <definedName name="bargroup4" hidden="1">OR(SCHEDULE!$J1=41,SCHEDULE!$J1=42,SCHEDULE!$J1=45,SCHEDULE!$J1=52,SCHEDULE!$J1=85)</definedName>
    <definedName name="bargroup5" hidden="1">OR(SCHEDULE!$J1=43,SCHEDULE!$J1=49,SCHEDULE!$J1=53,SCHEDULE!$J1=55)</definedName>
    <definedName name="bargroup6" hidden="1">SCHEDULE!$J1=65</definedName>
    <definedName name="bargroup7" hidden="1">SCHEDULE!$J1=51</definedName>
    <definedName name="C_" hidden="1">SCHEDULE!$M$10:$M$32</definedName>
    <definedName name="D" hidden="1">SCHEDULE!$N$10:$N$32</definedName>
    <definedName name="deleted" hidden="1">SCHEDULE!$CN$10:$CN$32</definedName>
    <definedName name="dia" hidden="1">SCHEDULE!$AF$10:$AF$32</definedName>
    <definedName name="E" hidden="1">SCHEDULE!$O$10:$O$32</definedName>
    <definedName name="h" hidden="1">SCHEDULE!$AQ$10:$AQ$32</definedName>
    <definedName name="job.no" hidden="1">Database!$C$6:$C$26</definedName>
    <definedName name="n" hidden="1">SCHEDULE!$AP$10:$AP$32</definedName>
    <definedName name="prepared.by" hidden="1">Database!$D$6:$D$26</definedName>
    <definedName name="_xlnm.Print_Area" localSheetId="7" hidden="1">page!$B$2:$P$34</definedName>
    <definedName name="_xlnm.Print_Area" localSheetId="0">SCHEDULE!$B$2:$P$34</definedName>
    <definedName name="rad" hidden="1">SCHEDULE!$AO$10:$AO$32</definedName>
    <definedName name="range" hidden="1">SCHEDULE!$AD$10:$AD$32</definedName>
    <definedName name="schedule.nos" hidden="1">'schedule nos'!$A$1:$A$99</definedName>
    <definedName name="shape.codes" hidden="1">SCHEDULE!$AU$9:$BV$9</definedName>
    <definedName name="site.ref" hidden="1">Database!$B$6:$B$26</definedName>
    <definedName name="table" hidden="1">check!$B$8:$I$35</definedName>
  </definedNames>
  <calcPr calcId="152511"/>
</workbook>
</file>

<file path=xl/calcChain.xml><?xml version="1.0" encoding="utf-8"?>
<calcChain xmlns="http://schemas.openxmlformats.org/spreadsheetml/2006/main">
  <c r="DI35" i="1" l="1"/>
  <c r="DH35" i="1"/>
  <c r="DG35" i="1"/>
  <c r="DD35" i="1"/>
  <c r="P8" i="11"/>
  <c r="N3" i="1"/>
  <c r="CP4" i="1"/>
  <c r="CW4" i="1"/>
  <c r="DG4" i="1"/>
  <c r="DH4" i="1"/>
  <c r="DK4" i="1"/>
  <c r="CW5" i="1"/>
  <c r="DG5" i="1"/>
  <c r="DK5" i="1"/>
  <c r="AD14" i="1"/>
  <c r="AD15" i="1"/>
  <c r="AD16" i="1"/>
  <c r="AD17" i="1"/>
  <c r="AD18" i="1"/>
  <c r="AD19" i="1"/>
  <c r="AD20" i="1"/>
  <c r="AD21" i="1"/>
  <c r="AD22" i="1"/>
  <c r="AD23" i="1"/>
  <c r="AD24" i="1"/>
  <c r="AD25" i="1"/>
  <c r="AD26" i="1"/>
  <c r="AD27" i="1"/>
  <c r="AD28" i="1"/>
  <c r="AD30" i="1"/>
  <c r="AD31" i="1"/>
  <c r="AD32" i="1"/>
  <c r="AD29" i="1"/>
  <c r="AD10" i="1"/>
  <c r="AD11" i="1"/>
  <c r="AD12" i="1"/>
  <c r="I7" i="1"/>
  <c r="AD13" i="1"/>
  <c r="P8" i="1"/>
  <c r="BX8" i="1"/>
  <c r="BZ8" i="1"/>
  <c r="CB8" i="1"/>
  <c r="CD8" i="1"/>
  <c r="CF8" i="1"/>
  <c r="CH8" i="1"/>
  <c r="CJ8" i="1"/>
  <c r="H10" i="1"/>
  <c r="AF10" i="1"/>
  <c r="AK10" i="1"/>
  <c r="AO10" i="1"/>
  <c r="CM10" i="1"/>
  <c r="U10" i="1"/>
  <c r="V10" i="1"/>
  <c r="Z10" i="1"/>
  <c r="AA10" i="1"/>
  <c r="AB10" i="1"/>
  <c r="X10" i="1"/>
  <c r="AM10" i="1"/>
  <c r="AQ10" i="1"/>
  <c r="AU10" i="1"/>
  <c r="BB10" i="1"/>
  <c r="BC10" i="1"/>
  <c r="BD10" i="1"/>
  <c r="BF10" i="1"/>
  <c r="BH10" i="1"/>
  <c r="BK10" i="1"/>
  <c r="BP10" i="1"/>
  <c r="BQ10" i="1"/>
  <c r="BS10" i="1"/>
  <c r="BV10" i="1"/>
  <c r="CP10" i="1"/>
  <c r="CQ10" i="1"/>
  <c r="CR10" i="1"/>
  <c r="CS10" i="1"/>
  <c r="CT10" i="1"/>
  <c r="CU10" i="1"/>
  <c r="CV10" i="1"/>
  <c r="CW10" i="1"/>
  <c r="CX10" i="1"/>
  <c r="CY10" i="1"/>
  <c r="CZ10" i="1"/>
  <c r="DA10" i="1"/>
  <c r="DB10" i="1"/>
  <c r="DC10" i="1"/>
  <c r="DG10" i="1"/>
  <c r="DH10" i="1"/>
  <c r="DI10" i="1"/>
  <c r="DJ10" i="1"/>
  <c r="DK10" i="1"/>
  <c r="H11" i="1"/>
  <c r="AF11" i="1"/>
  <c r="AK11" i="1"/>
  <c r="AO11" i="1"/>
  <c r="AU11" i="1"/>
  <c r="AL11" i="1"/>
  <c r="AP11" i="1"/>
  <c r="CM11" i="1"/>
  <c r="U11" i="1"/>
  <c r="V11" i="1"/>
  <c r="Z11" i="1"/>
  <c r="AA11" i="1"/>
  <c r="AB11" i="1"/>
  <c r="X11" i="1"/>
  <c r="AM11" i="1"/>
  <c r="AQ11" i="1"/>
  <c r="AW11" i="1"/>
  <c r="BB11" i="1"/>
  <c r="BC11" i="1"/>
  <c r="BF11" i="1"/>
  <c r="BK11" i="1"/>
  <c r="BP11" i="1"/>
  <c r="BR11" i="1"/>
  <c r="BV11" i="1"/>
  <c r="CP11" i="1"/>
  <c r="CQ11" i="1"/>
  <c r="CR11" i="1"/>
  <c r="CS11" i="1"/>
  <c r="CT11" i="1"/>
  <c r="CU11" i="1"/>
  <c r="CV11" i="1"/>
  <c r="CW11" i="1"/>
  <c r="CX11" i="1"/>
  <c r="CY11" i="1"/>
  <c r="CZ11" i="1"/>
  <c r="DA11" i="1"/>
  <c r="DB11" i="1"/>
  <c r="DC11" i="1"/>
  <c r="DG11" i="1"/>
  <c r="DH11" i="1"/>
  <c r="DI11" i="1"/>
  <c r="DJ11" i="1"/>
  <c r="DK11" i="1"/>
  <c r="H12" i="1"/>
  <c r="AF12" i="1"/>
  <c r="AK12" i="1"/>
  <c r="AO12" i="1"/>
  <c r="AU12" i="1"/>
  <c r="CM12" i="1"/>
  <c r="U12" i="1"/>
  <c r="V12" i="1"/>
  <c r="Z12" i="1"/>
  <c r="AB12" i="1"/>
  <c r="X12" i="1"/>
  <c r="BB12" i="1"/>
  <c r="BC12" i="1"/>
  <c r="BF12" i="1"/>
  <c r="BK12" i="1"/>
  <c r="BP12" i="1"/>
  <c r="BQ12" i="1"/>
  <c r="BV12" i="1"/>
  <c r="CP12" i="1"/>
  <c r="CQ12" i="1"/>
  <c r="CR12" i="1"/>
  <c r="CT12" i="1"/>
  <c r="CU12" i="1"/>
  <c r="CV12" i="1"/>
  <c r="CW12" i="1"/>
  <c r="CX12" i="1"/>
  <c r="CY12" i="1"/>
  <c r="CY33" i="1"/>
  <c r="CZ12" i="1"/>
  <c r="DA12" i="1"/>
  <c r="DB12" i="1"/>
  <c r="DC12" i="1"/>
  <c r="DF12" i="1"/>
  <c r="DG12" i="1"/>
  <c r="DH12" i="1"/>
  <c r="DI12" i="1"/>
  <c r="DI33" i="1"/>
  <c r="DJ12" i="1"/>
  <c r="DK12" i="1"/>
  <c r="H13" i="1"/>
  <c r="AF13" i="1"/>
  <c r="CM13" i="1"/>
  <c r="U13" i="1"/>
  <c r="V13" i="1"/>
  <c r="Z13" i="1"/>
  <c r="AB13" i="1"/>
  <c r="X13" i="1"/>
  <c r="AU13" i="1"/>
  <c r="BB13" i="1"/>
  <c r="BC13" i="1"/>
  <c r="BF13" i="1"/>
  <c r="BK13" i="1"/>
  <c r="BP13" i="1"/>
  <c r="BV13" i="1"/>
  <c r="CP13" i="1"/>
  <c r="CQ13" i="1"/>
  <c r="CR13" i="1"/>
  <c r="CS13" i="1"/>
  <c r="CT13" i="1"/>
  <c r="CU13" i="1"/>
  <c r="CV13" i="1"/>
  <c r="CW13" i="1"/>
  <c r="CW33" i="1"/>
  <c r="CX13" i="1"/>
  <c r="CY13" i="1"/>
  <c r="CZ13" i="1"/>
  <c r="DA13" i="1"/>
  <c r="DB13" i="1"/>
  <c r="DC13" i="1"/>
  <c r="DE13" i="1"/>
  <c r="DG13" i="1"/>
  <c r="DH13" i="1"/>
  <c r="DI13" i="1"/>
  <c r="DJ13" i="1"/>
  <c r="DK13" i="1"/>
  <c r="H14" i="1"/>
  <c r="AF14" i="1"/>
  <c r="AU14" i="1"/>
  <c r="CM14" i="1"/>
  <c r="U14" i="1"/>
  <c r="V14" i="1"/>
  <c r="Z14" i="1"/>
  <c r="AB14" i="1"/>
  <c r="X14" i="1"/>
  <c r="BB14" i="1"/>
  <c r="BC14" i="1"/>
  <c r="BE14" i="1"/>
  <c r="BF14" i="1"/>
  <c r="BG14" i="1"/>
  <c r="BK14" i="1"/>
  <c r="BP14" i="1"/>
  <c r="BV14" i="1"/>
  <c r="CP14" i="1"/>
  <c r="CQ14" i="1"/>
  <c r="CR14" i="1"/>
  <c r="CS14" i="1"/>
  <c r="CT14" i="1"/>
  <c r="CU14" i="1"/>
  <c r="CV14" i="1"/>
  <c r="CW14" i="1"/>
  <c r="CX14" i="1"/>
  <c r="CY14" i="1"/>
  <c r="CZ14" i="1"/>
  <c r="DA14" i="1"/>
  <c r="DB14" i="1"/>
  <c r="DC14" i="1"/>
  <c r="DF14" i="1"/>
  <c r="DH14" i="1"/>
  <c r="DI14" i="1"/>
  <c r="DJ14" i="1"/>
  <c r="DJ33" i="1"/>
  <c r="DK14" i="1"/>
  <c r="H15" i="1"/>
  <c r="AF15" i="1"/>
  <c r="AL15" i="1"/>
  <c r="AP15" i="1"/>
  <c r="AX15" i="1"/>
  <c r="AU15" i="1"/>
  <c r="CM15" i="1"/>
  <c r="U15" i="1"/>
  <c r="V15" i="1"/>
  <c r="Z15" i="1"/>
  <c r="AB15" i="1"/>
  <c r="X15" i="1"/>
  <c r="BB15" i="1"/>
  <c r="BC15" i="1"/>
  <c r="BF15" i="1"/>
  <c r="BK15" i="1"/>
  <c r="BP15" i="1"/>
  <c r="BS15" i="1"/>
  <c r="BV15" i="1"/>
  <c r="CP15" i="1"/>
  <c r="CQ15" i="1"/>
  <c r="CR15" i="1"/>
  <c r="CS15" i="1"/>
  <c r="CT15" i="1"/>
  <c r="CU15" i="1"/>
  <c r="CV15" i="1"/>
  <c r="CW15" i="1"/>
  <c r="CX15" i="1"/>
  <c r="CY15" i="1"/>
  <c r="CZ15" i="1"/>
  <c r="DA15" i="1"/>
  <c r="DB15" i="1"/>
  <c r="DC15" i="1"/>
  <c r="DG15" i="1"/>
  <c r="DH15" i="1"/>
  <c r="DI15" i="1"/>
  <c r="DJ15" i="1"/>
  <c r="DK15" i="1"/>
  <c r="H16" i="1"/>
  <c r="AF16" i="1"/>
  <c r="CM16" i="1"/>
  <c r="U16" i="1"/>
  <c r="V16" i="1"/>
  <c r="Z16" i="1"/>
  <c r="AB16" i="1"/>
  <c r="X16" i="1"/>
  <c r="AU16" i="1"/>
  <c r="BB16" i="1"/>
  <c r="BC16" i="1"/>
  <c r="BF16" i="1"/>
  <c r="BK16" i="1"/>
  <c r="BP16" i="1"/>
  <c r="BV16" i="1"/>
  <c r="CP16" i="1"/>
  <c r="CQ16" i="1"/>
  <c r="CR16" i="1"/>
  <c r="CT16" i="1"/>
  <c r="CT33" i="1"/>
  <c r="CU16" i="1"/>
  <c r="CV16" i="1"/>
  <c r="CW16" i="1"/>
  <c r="CX16" i="1"/>
  <c r="CX33" i="1"/>
  <c r="CY16" i="1"/>
  <c r="CZ16" i="1"/>
  <c r="DA16" i="1"/>
  <c r="DB16" i="1"/>
  <c r="DB33" i="1"/>
  <c r="DE16" i="1"/>
  <c r="DG16" i="1"/>
  <c r="DH16" i="1"/>
  <c r="DI16" i="1"/>
  <c r="DJ16" i="1"/>
  <c r="DK16" i="1"/>
  <c r="H17" i="1"/>
  <c r="AF17" i="1"/>
  <c r="CM17" i="1"/>
  <c r="U17" i="1"/>
  <c r="V17" i="1"/>
  <c r="Z17" i="1"/>
  <c r="AB17" i="1"/>
  <c r="X17" i="1"/>
  <c r="AU17" i="1"/>
  <c r="BB17" i="1"/>
  <c r="BC17" i="1"/>
  <c r="BF17" i="1"/>
  <c r="BK17" i="1"/>
  <c r="BP17" i="1"/>
  <c r="BV17" i="1"/>
  <c r="CP17" i="1"/>
  <c r="CQ17" i="1"/>
  <c r="CR17" i="1"/>
  <c r="CS17" i="1"/>
  <c r="CT17" i="1"/>
  <c r="CU17" i="1"/>
  <c r="CV17" i="1"/>
  <c r="CW17" i="1"/>
  <c r="CX17" i="1"/>
  <c r="CY17" i="1"/>
  <c r="CZ17" i="1"/>
  <c r="DA17" i="1"/>
  <c r="DB17" i="1"/>
  <c r="DC17" i="1"/>
  <c r="DG17" i="1"/>
  <c r="DH17" i="1"/>
  <c r="DI17" i="1"/>
  <c r="DJ17" i="1"/>
  <c r="DK17" i="1"/>
  <c r="H18" i="1"/>
  <c r="AF18" i="1"/>
  <c r="AK18" i="1"/>
  <c r="AO18" i="1"/>
  <c r="AU18" i="1"/>
  <c r="CM18" i="1"/>
  <c r="U18" i="1"/>
  <c r="V18" i="1"/>
  <c r="Z18" i="1"/>
  <c r="AB18" i="1"/>
  <c r="X18" i="1"/>
  <c r="BB18" i="1"/>
  <c r="BC18" i="1"/>
  <c r="BF18" i="1"/>
  <c r="BK18" i="1"/>
  <c r="BP18" i="1"/>
  <c r="BV18" i="1"/>
  <c r="CP18" i="1"/>
  <c r="CQ18" i="1"/>
  <c r="CR18" i="1"/>
  <c r="CT18" i="1"/>
  <c r="CU18" i="1"/>
  <c r="CV18" i="1"/>
  <c r="CW18" i="1"/>
  <c r="CX18" i="1"/>
  <c r="CY18" i="1"/>
  <c r="CZ18" i="1"/>
  <c r="DA18" i="1"/>
  <c r="DB18" i="1"/>
  <c r="DG18" i="1"/>
  <c r="DH18" i="1"/>
  <c r="DI18" i="1"/>
  <c r="DJ18" i="1"/>
  <c r="DK18" i="1"/>
  <c r="H19" i="1"/>
  <c r="AF19" i="1"/>
  <c r="AK19" i="1"/>
  <c r="AO19" i="1"/>
  <c r="CM19" i="1"/>
  <c r="U19" i="1"/>
  <c r="V19" i="1"/>
  <c r="Z19" i="1"/>
  <c r="AB19" i="1"/>
  <c r="X19" i="1"/>
  <c r="AH19" i="1"/>
  <c r="AU19" i="1"/>
  <c r="BB19" i="1"/>
  <c r="BC19" i="1"/>
  <c r="BD19" i="1"/>
  <c r="BF19" i="1"/>
  <c r="BH19" i="1"/>
  <c r="BK19" i="1"/>
  <c r="BP19" i="1"/>
  <c r="BV19" i="1"/>
  <c r="CP19" i="1"/>
  <c r="CQ19" i="1"/>
  <c r="CR19" i="1"/>
  <c r="CS19" i="1"/>
  <c r="CT19" i="1"/>
  <c r="CU19" i="1"/>
  <c r="CV19" i="1"/>
  <c r="CW19" i="1"/>
  <c r="CX19" i="1"/>
  <c r="CY19" i="1"/>
  <c r="CZ19" i="1"/>
  <c r="DA19" i="1"/>
  <c r="DB19" i="1"/>
  <c r="DC19" i="1"/>
  <c r="DG19" i="1"/>
  <c r="DH19" i="1"/>
  <c r="DI19" i="1"/>
  <c r="DJ19" i="1"/>
  <c r="DK19" i="1"/>
  <c r="H20" i="1"/>
  <c r="AF20" i="1"/>
  <c r="AU20" i="1"/>
  <c r="CM20" i="1"/>
  <c r="U20" i="1"/>
  <c r="V20" i="1"/>
  <c r="Z20" i="1"/>
  <c r="AB20" i="1"/>
  <c r="X20" i="1"/>
  <c r="BB20" i="1"/>
  <c r="BC20" i="1"/>
  <c r="BF20" i="1"/>
  <c r="BK20" i="1"/>
  <c r="BP20" i="1"/>
  <c r="BV20" i="1"/>
  <c r="CP20" i="1"/>
  <c r="CQ20" i="1"/>
  <c r="CR20" i="1"/>
  <c r="CS20" i="1"/>
  <c r="CT20" i="1"/>
  <c r="CU20" i="1"/>
  <c r="CV20" i="1"/>
  <c r="CW20" i="1"/>
  <c r="CX20" i="1"/>
  <c r="CY20" i="1"/>
  <c r="CZ20" i="1"/>
  <c r="DA20" i="1"/>
  <c r="DB20" i="1"/>
  <c r="DG20" i="1"/>
  <c r="DH20" i="1"/>
  <c r="DH33" i="1"/>
  <c r="DI20" i="1"/>
  <c r="DJ20" i="1"/>
  <c r="DK20" i="1"/>
  <c r="H21" i="1"/>
  <c r="AF21" i="1"/>
  <c r="AK21" i="1"/>
  <c r="AO21" i="1"/>
  <c r="AU21" i="1"/>
  <c r="CM21" i="1"/>
  <c r="U21" i="1"/>
  <c r="V21" i="1"/>
  <c r="Z21" i="1"/>
  <c r="AB21" i="1"/>
  <c r="X21" i="1"/>
  <c r="AI21" i="1"/>
  <c r="BB21" i="1"/>
  <c r="BC21" i="1"/>
  <c r="BF21" i="1"/>
  <c r="BG21" i="1"/>
  <c r="BK21" i="1"/>
  <c r="BP21" i="1"/>
  <c r="BQ21" i="1"/>
  <c r="BS21" i="1"/>
  <c r="BV21" i="1"/>
  <c r="CP21" i="1"/>
  <c r="CQ21" i="1"/>
  <c r="CR21" i="1"/>
  <c r="CT21" i="1"/>
  <c r="CU21" i="1"/>
  <c r="CV21" i="1"/>
  <c r="CW21" i="1"/>
  <c r="CX21" i="1"/>
  <c r="CY21" i="1"/>
  <c r="CZ21" i="1"/>
  <c r="DA21" i="1"/>
  <c r="DB21" i="1"/>
  <c r="DG21" i="1"/>
  <c r="DH21" i="1"/>
  <c r="DI21" i="1"/>
  <c r="DJ21" i="1"/>
  <c r="DK21" i="1"/>
  <c r="H22" i="1"/>
  <c r="AF22" i="1"/>
  <c r="AU22" i="1"/>
  <c r="CM22" i="1"/>
  <c r="U22" i="1"/>
  <c r="V22" i="1"/>
  <c r="Z22" i="1"/>
  <c r="AB22" i="1"/>
  <c r="X22" i="1"/>
  <c r="BB22" i="1"/>
  <c r="BC22" i="1"/>
  <c r="BF22" i="1"/>
  <c r="BK22" i="1"/>
  <c r="BP22" i="1"/>
  <c r="BV22" i="1"/>
  <c r="CP22" i="1"/>
  <c r="CQ22" i="1"/>
  <c r="CR22" i="1"/>
  <c r="CT22" i="1"/>
  <c r="CU22" i="1"/>
  <c r="CV22" i="1"/>
  <c r="CW22" i="1"/>
  <c r="CX22" i="1"/>
  <c r="CY22" i="1"/>
  <c r="CZ22" i="1"/>
  <c r="DA22" i="1"/>
  <c r="DB22" i="1"/>
  <c r="DC22" i="1"/>
  <c r="DF22" i="1"/>
  <c r="DG22" i="1"/>
  <c r="DH22" i="1"/>
  <c r="DI22" i="1"/>
  <c r="DJ22" i="1"/>
  <c r="DK22" i="1"/>
  <c r="H23" i="1"/>
  <c r="AF23" i="1"/>
  <c r="AK23" i="1"/>
  <c r="AO23" i="1"/>
  <c r="BF23" i="1"/>
  <c r="CM23" i="1"/>
  <c r="U23" i="1"/>
  <c r="V23" i="1"/>
  <c r="Z23" i="1"/>
  <c r="AB23" i="1"/>
  <c r="X23" i="1"/>
  <c r="AU23" i="1"/>
  <c r="BB23" i="1"/>
  <c r="BC23" i="1"/>
  <c r="BK23" i="1"/>
  <c r="BP23" i="1"/>
  <c r="BV23" i="1"/>
  <c r="CP23" i="1"/>
  <c r="CQ23" i="1"/>
  <c r="CR23" i="1"/>
  <c r="CS23" i="1"/>
  <c r="CT23" i="1"/>
  <c r="CV23" i="1"/>
  <c r="CW23" i="1"/>
  <c r="CX23" i="1"/>
  <c r="CY23" i="1"/>
  <c r="CZ23" i="1"/>
  <c r="DA23" i="1"/>
  <c r="DB23" i="1"/>
  <c r="DC23" i="1"/>
  <c r="DE23" i="1"/>
  <c r="DG23" i="1"/>
  <c r="DH23" i="1"/>
  <c r="DI23" i="1"/>
  <c r="DJ23" i="1"/>
  <c r="DK23" i="1"/>
  <c r="H24" i="1"/>
  <c r="AF24" i="1"/>
  <c r="AU24" i="1"/>
  <c r="BB24" i="1"/>
  <c r="BF24" i="1"/>
  <c r="CM24" i="1"/>
  <c r="U24" i="1"/>
  <c r="V24" i="1"/>
  <c r="Z24" i="1"/>
  <c r="AB24" i="1"/>
  <c r="X24" i="1"/>
  <c r="BC24" i="1"/>
  <c r="BK24" i="1"/>
  <c r="BP24" i="1"/>
  <c r="BV24" i="1"/>
  <c r="CP24" i="1"/>
  <c r="CQ24" i="1"/>
  <c r="CR24" i="1"/>
  <c r="CS24" i="1"/>
  <c r="CT24" i="1"/>
  <c r="CU24" i="1"/>
  <c r="CV24" i="1"/>
  <c r="CW24" i="1"/>
  <c r="CX24" i="1"/>
  <c r="CY24" i="1"/>
  <c r="CZ24" i="1"/>
  <c r="DA24" i="1"/>
  <c r="DB24" i="1"/>
  <c r="DC24" i="1"/>
  <c r="DG24" i="1"/>
  <c r="DH24" i="1"/>
  <c r="DI24" i="1"/>
  <c r="DJ24" i="1"/>
  <c r="DK24" i="1"/>
  <c r="H25" i="1"/>
  <c r="AF25" i="1"/>
  <c r="BF25" i="1"/>
  <c r="BB25" i="1"/>
  <c r="CM25" i="1"/>
  <c r="U25" i="1"/>
  <c r="V25" i="1"/>
  <c r="Z25" i="1"/>
  <c r="AB25" i="1"/>
  <c r="X25" i="1"/>
  <c r="AU25" i="1"/>
  <c r="BC25" i="1"/>
  <c r="BK25" i="1"/>
  <c r="BP25" i="1"/>
  <c r="BV25" i="1"/>
  <c r="CP25" i="1"/>
  <c r="CQ25" i="1"/>
  <c r="CR25" i="1"/>
  <c r="CU25" i="1"/>
  <c r="CV25" i="1"/>
  <c r="CW25" i="1"/>
  <c r="CX25" i="1"/>
  <c r="CY25" i="1"/>
  <c r="CZ25" i="1"/>
  <c r="DA25" i="1"/>
  <c r="DB25" i="1"/>
  <c r="DC25" i="1"/>
  <c r="DG25" i="1"/>
  <c r="DH25" i="1"/>
  <c r="DI25" i="1"/>
  <c r="DJ25" i="1"/>
  <c r="DK25" i="1"/>
  <c r="H26" i="1"/>
  <c r="AF26" i="1"/>
  <c r="AK26" i="1"/>
  <c r="AU26" i="1"/>
  <c r="BF26" i="1"/>
  <c r="CM26" i="1"/>
  <c r="U26" i="1"/>
  <c r="V26" i="1"/>
  <c r="Z26" i="1"/>
  <c r="AB26" i="1"/>
  <c r="X26" i="1"/>
  <c r="AI26" i="1"/>
  <c r="BB26" i="1"/>
  <c r="BC26" i="1"/>
  <c r="BK26" i="1"/>
  <c r="BP26" i="1"/>
  <c r="BV26" i="1"/>
  <c r="CP26" i="1"/>
  <c r="CQ26" i="1"/>
  <c r="CR26" i="1"/>
  <c r="CT26" i="1"/>
  <c r="CU26" i="1"/>
  <c r="CV26" i="1"/>
  <c r="CW26" i="1"/>
  <c r="CX26" i="1"/>
  <c r="CY26" i="1"/>
  <c r="CZ26" i="1"/>
  <c r="DA26" i="1"/>
  <c r="DB26" i="1"/>
  <c r="DC26" i="1"/>
  <c r="DF26" i="1"/>
  <c r="DG26" i="1"/>
  <c r="DH26" i="1"/>
  <c r="DI26" i="1"/>
  <c r="DJ26" i="1"/>
  <c r="DK26" i="1"/>
  <c r="H27" i="1"/>
  <c r="AF27" i="1"/>
  <c r="AK27" i="1"/>
  <c r="AO27" i="1"/>
  <c r="AU27" i="1"/>
  <c r="CM27" i="1"/>
  <c r="U27" i="1"/>
  <c r="V27" i="1"/>
  <c r="Z27" i="1"/>
  <c r="AB27" i="1"/>
  <c r="X27" i="1"/>
  <c r="BB27" i="1"/>
  <c r="BC27" i="1"/>
  <c r="BF27" i="1"/>
  <c r="BK27" i="1"/>
  <c r="BP27" i="1"/>
  <c r="BV27" i="1"/>
  <c r="CP27" i="1"/>
  <c r="CQ27" i="1"/>
  <c r="CR27" i="1"/>
  <c r="CT27" i="1"/>
  <c r="CU27" i="1"/>
  <c r="CV27" i="1"/>
  <c r="CW27" i="1"/>
  <c r="CX27" i="1"/>
  <c r="CY27" i="1"/>
  <c r="CZ27" i="1"/>
  <c r="DA27" i="1"/>
  <c r="DB27" i="1"/>
  <c r="DC27" i="1"/>
  <c r="DE27" i="1"/>
  <c r="DG27" i="1"/>
  <c r="DH27" i="1"/>
  <c r="DI27" i="1"/>
  <c r="DJ27" i="1"/>
  <c r="DK27" i="1"/>
  <c r="H28" i="1"/>
  <c r="DC28" i="1"/>
  <c r="AF28" i="1"/>
  <c r="AU28" i="1"/>
  <c r="BE28" i="1"/>
  <c r="I28" i="1"/>
  <c r="CM28" i="1"/>
  <c r="U28" i="1"/>
  <c r="V28" i="1"/>
  <c r="Z28" i="1"/>
  <c r="AB28" i="1"/>
  <c r="X28" i="1"/>
  <c r="BB28" i="1"/>
  <c r="BC28" i="1"/>
  <c r="BF28" i="1"/>
  <c r="BK28" i="1"/>
  <c r="BP28" i="1"/>
  <c r="BU28" i="1"/>
  <c r="BV28" i="1"/>
  <c r="CP28" i="1"/>
  <c r="CQ28" i="1"/>
  <c r="CR28" i="1"/>
  <c r="CS28" i="1"/>
  <c r="CT28" i="1"/>
  <c r="CU28" i="1"/>
  <c r="CV28" i="1"/>
  <c r="CW28" i="1"/>
  <c r="CX28" i="1"/>
  <c r="CY28" i="1"/>
  <c r="CZ28" i="1"/>
  <c r="DA28" i="1"/>
  <c r="DB28" i="1"/>
  <c r="DE28" i="1"/>
  <c r="DG28" i="1"/>
  <c r="DH28" i="1"/>
  <c r="DI28" i="1"/>
  <c r="DJ28" i="1"/>
  <c r="DK28" i="1"/>
  <c r="H29" i="1"/>
  <c r="AF29" i="1"/>
  <c r="AK29" i="1"/>
  <c r="AO29" i="1"/>
  <c r="CM29" i="1"/>
  <c r="U29" i="1"/>
  <c r="V29" i="1"/>
  <c r="Z29" i="1"/>
  <c r="AB29" i="1"/>
  <c r="X29" i="1"/>
  <c r="AM29" i="1"/>
  <c r="AQ29" i="1"/>
  <c r="AV29" i="1"/>
  <c r="AU29" i="1"/>
  <c r="BB29" i="1"/>
  <c r="BC29" i="1"/>
  <c r="BD29" i="1"/>
  <c r="BF29" i="1"/>
  <c r="BH29" i="1"/>
  <c r="BK29" i="1"/>
  <c r="BP29" i="1"/>
  <c r="BS29" i="1"/>
  <c r="BV29" i="1"/>
  <c r="CP29" i="1"/>
  <c r="CQ29" i="1"/>
  <c r="CR29" i="1"/>
  <c r="CS29" i="1"/>
  <c r="CT29" i="1"/>
  <c r="CU29" i="1"/>
  <c r="CV29" i="1"/>
  <c r="CW29" i="1"/>
  <c r="CX29" i="1"/>
  <c r="CY29" i="1"/>
  <c r="CZ29" i="1"/>
  <c r="DA29" i="1"/>
  <c r="DB29" i="1"/>
  <c r="DC29" i="1"/>
  <c r="DE29" i="1"/>
  <c r="DG29" i="1"/>
  <c r="DH29" i="1"/>
  <c r="DI29" i="1"/>
  <c r="DJ29" i="1"/>
  <c r="DK29" i="1"/>
  <c r="H30" i="1"/>
  <c r="AF30" i="1"/>
  <c r="AK30" i="1"/>
  <c r="AO30" i="1"/>
  <c r="AU30" i="1"/>
  <c r="CM30" i="1"/>
  <c r="U30" i="1"/>
  <c r="V30" i="1"/>
  <c r="Z30" i="1"/>
  <c r="AB30" i="1"/>
  <c r="X30" i="1"/>
  <c r="BB30" i="1"/>
  <c r="BC30" i="1"/>
  <c r="BF30" i="1"/>
  <c r="BH30" i="1"/>
  <c r="BK30" i="1"/>
  <c r="BP30" i="1"/>
  <c r="BV30" i="1"/>
  <c r="CP30" i="1"/>
  <c r="CQ30" i="1"/>
  <c r="CR30" i="1"/>
  <c r="CT30" i="1"/>
  <c r="CU30" i="1"/>
  <c r="CV30" i="1"/>
  <c r="CW30" i="1"/>
  <c r="CX30" i="1"/>
  <c r="CY30" i="1"/>
  <c r="CZ30" i="1"/>
  <c r="DA30" i="1"/>
  <c r="DB30" i="1"/>
  <c r="DE30" i="1"/>
  <c r="DG30" i="1"/>
  <c r="DH30" i="1"/>
  <c r="DI30" i="1"/>
  <c r="DJ30" i="1"/>
  <c r="DK30" i="1"/>
  <c r="H31" i="1"/>
  <c r="AF31" i="1"/>
  <c r="AK31" i="1"/>
  <c r="AO31" i="1"/>
  <c r="CM31" i="1"/>
  <c r="U31" i="1"/>
  <c r="V31" i="1"/>
  <c r="Z31" i="1"/>
  <c r="AB31" i="1"/>
  <c r="X31" i="1"/>
  <c r="AU31" i="1"/>
  <c r="BB31" i="1"/>
  <c r="BC31" i="1"/>
  <c r="BF31" i="1"/>
  <c r="BK31" i="1"/>
  <c r="BP31" i="1"/>
  <c r="BQ31" i="1"/>
  <c r="BV31" i="1"/>
  <c r="CP31" i="1"/>
  <c r="CQ31" i="1"/>
  <c r="CR31" i="1"/>
  <c r="CU31" i="1"/>
  <c r="CV31" i="1"/>
  <c r="CW31" i="1"/>
  <c r="CX31" i="1"/>
  <c r="CY31" i="1"/>
  <c r="CZ31" i="1"/>
  <c r="DA31" i="1"/>
  <c r="DB31" i="1"/>
  <c r="DC31" i="1"/>
  <c r="DF31" i="1"/>
  <c r="DG31" i="1"/>
  <c r="DH31" i="1"/>
  <c r="DI31" i="1"/>
  <c r="DJ31" i="1"/>
  <c r="DK31" i="1"/>
  <c r="H32" i="1"/>
  <c r="AF32" i="1"/>
  <c r="BE32" i="1"/>
  <c r="CM32" i="1"/>
  <c r="U32" i="1"/>
  <c r="V32" i="1"/>
  <c r="Z32" i="1"/>
  <c r="AB32" i="1"/>
  <c r="X32" i="1"/>
  <c r="AU32" i="1"/>
  <c r="DE32" i="1"/>
  <c r="BB32" i="1"/>
  <c r="BC32" i="1"/>
  <c r="BF32" i="1"/>
  <c r="BK32" i="1"/>
  <c r="BP32" i="1"/>
  <c r="BU32" i="1"/>
  <c r="BV32" i="1"/>
  <c r="CP32" i="1"/>
  <c r="CQ32" i="1"/>
  <c r="CR32" i="1"/>
  <c r="CS32" i="1"/>
  <c r="CT32" i="1"/>
  <c r="CU32" i="1"/>
  <c r="CV32" i="1"/>
  <c r="CW32" i="1"/>
  <c r="CX32" i="1"/>
  <c r="CY32" i="1"/>
  <c r="CZ32" i="1"/>
  <c r="DA32" i="1"/>
  <c r="DB32" i="1"/>
  <c r="DD32" i="1"/>
  <c r="DF32" i="1"/>
  <c r="DG32" i="1"/>
  <c r="DH32" i="1"/>
  <c r="DI32" i="1"/>
  <c r="DJ32" i="1"/>
  <c r="DK32" i="1"/>
  <c r="AM27" i="1"/>
  <c r="AQ27" i="1"/>
  <c r="AW27" i="1"/>
  <c r="BR26" i="1"/>
  <c r="BH26" i="1"/>
  <c r="BE26" i="1"/>
  <c r="AH26" i="1"/>
  <c r="BQ28" i="1"/>
  <c r="BD28" i="1"/>
  <c r="BE25" i="1"/>
  <c r="I25" i="1"/>
  <c r="DD25" i="1"/>
  <c r="BD23" i="1"/>
  <c r="AI22" i="1"/>
  <c r="BS20" i="1"/>
  <c r="BQ20" i="1"/>
  <c r="AH20" i="1"/>
  <c r="BS19" i="1"/>
  <c r="BQ19" i="1"/>
  <c r="BG19" i="1"/>
  <c r="BE19" i="1"/>
  <c r="AI19" i="1"/>
  <c r="AG19" i="1"/>
  <c r="AA19" i="1"/>
  <c r="BQ18" i="1"/>
  <c r="BU15" i="1"/>
  <c r="BR15" i="1"/>
  <c r="BH15" i="1"/>
  <c r="BD15" i="1"/>
  <c r="AI15" i="1"/>
  <c r="AA15" i="1"/>
  <c r="AK15" i="1"/>
  <c r="AO15" i="1"/>
  <c r="BM15" i="1"/>
  <c r="DF13" i="1"/>
  <c r="BH12" i="1"/>
  <c r="AG12" i="1"/>
  <c r="BU10" i="1"/>
  <c r="BR10" i="1"/>
  <c r="BG10" i="1"/>
  <c r="BE10" i="1"/>
  <c r="AI10" i="1"/>
  <c r="AH10" i="1"/>
  <c r="DE19" i="1"/>
  <c r="BS32" i="1"/>
  <c r="BQ32" i="1"/>
  <c r="BH32" i="1"/>
  <c r="AM32" i="1"/>
  <c r="AQ32" i="1"/>
  <c r="AV32" i="1"/>
  <c r="AG32" i="1"/>
  <c r="AH32" i="1"/>
  <c r="BU27" i="1"/>
  <c r="BR27" i="1"/>
  <c r="BE27" i="1"/>
  <c r="AI27" i="1"/>
  <c r="AG27" i="1"/>
  <c r="AL27" i="1"/>
  <c r="AP27" i="1"/>
  <c r="AX27" i="1"/>
  <c r="BS24" i="1"/>
  <c r="BQ24" i="1"/>
  <c r="BE24" i="1"/>
  <c r="AI24" i="1"/>
  <c r="AA24" i="1"/>
  <c r="BU23" i="1"/>
  <c r="BH23" i="1"/>
  <c r="AI23" i="1"/>
  <c r="AG23" i="1"/>
  <c r="BS22" i="1"/>
  <c r="AM22" i="1"/>
  <c r="AQ22" i="1"/>
  <c r="AH22" i="1"/>
  <c r="BD18" i="1"/>
  <c r="BU14" i="1"/>
  <c r="BR14" i="1"/>
  <c r="AI14" i="1"/>
  <c r="AA14" i="1"/>
  <c r="BQ13" i="1"/>
  <c r="DE20" i="1"/>
  <c r="DE10" i="1"/>
  <c r="BU24" i="1"/>
  <c r="BG24" i="1"/>
  <c r="AM16" i="1"/>
  <c r="AQ16" i="1"/>
  <c r="AV16" i="1"/>
  <c r="AL10" i="1"/>
  <c r="AP10" i="1"/>
  <c r="BQ29" i="1"/>
  <c r="BG29" i="1"/>
  <c r="BE29" i="1"/>
  <c r="AI29" i="1"/>
  <c r="AA29" i="1"/>
  <c r="BS16" i="1"/>
  <c r="BE16" i="1"/>
  <c r="I16" i="1"/>
  <c r="DC16" i="1"/>
  <c r="AI16" i="1"/>
  <c r="AH14" i="1"/>
  <c r="BU11" i="1"/>
  <c r="BH11" i="1"/>
  <c r="BD11" i="1"/>
  <c r="AH11" i="1"/>
  <c r="CS30" i="1"/>
  <c r="AH29" i="1"/>
  <c r="DF28" i="1"/>
  <c r="I22" i="1"/>
  <c r="DD22" i="1"/>
  <c r="BU19" i="1"/>
  <c r="AA16" i="1"/>
  <c r="BR32" i="1"/>
  <c r="BR31" i="1"/>
  <c r="AG31" i="1"/>
  <c r="AG29" i="1"/>
  <c r="BG15" i="1"/>
  <c r="BE15" i="1"/>
  <c r="BG32" i="1"/>
  <c r="BD32" i="1"/>
  <c r="AI32" i="1"/>
  <c r="AA32" i="1"/>
  <c r="AK32" i="1"/>
  <c r="AO32" i="1"/>
  <c r="AL32" i="1"/>
  <c r="AP32" i="1"/>
  <c r="AL31" i="1"/>
  <c r="AP31" i="1"/>
  <c r="AX31" i="1"/>
  <c r="AL29" i="1"/>
  <c r="AP29" i="1"/>
  <c r="AY29" i="1"/>
  <c r="BR28" i="1"/>
  <c r="BS27" i="1"/>
  <c r="BH27" i="1"/>
  <c r="BD27" i="1"/>
  <c r="BG26" i="1"/>
  <c r="CU23" i="1"/>
  <c r="AM15" i="1"/>
  <c r="AQ15" i="1"/>
  <c r="AV15" i="1"/>
  <c r="DD14" i="1"/>
  <c r="AG10" i="1"/>
  <c r="BD26" i="1"/>
  <c r="AO26" i="1"/>
  <c r="AA26" i="1"/>
  <c r="AL26" i="1"/>
  <c r="AP26" i="1"/>
  <c r="I14" i="1"/>
  <c r="BO12" i="1"/>
  <c r="DD17" i="1"/>
  <c r="DD16" i="1"/>
  <c r="AV11" i="1"/>
  <c r="BI11" i="1"/>
  <c r="AX11" i="1"/>
  <c r="AY11" i="1"/>
  <c r="Y11" i="1"/>
  <c r="AS11" i="1"/>
  <c r="T11" i="1"/>
  <c r="BN11" i="1"/>
  <c r="BJ11" i="1"/>
  <c r="BA11" i="1"/>
  <c r="I11" i="1"/>
  <c r="DD11" i="1"/>
  <c r="DF11" i="1"/>
  <c r="DF33" i="1"/>
  <c r="BT11" i="1"/>
  <c r="BL11" i="1"/>
  <c r="BO11" i="1"/>
  <c r="AR10" i="1"/>
  <c r="S10" i="1"/>
  <c r="BI10" i="1"/>
  <c r="I10" i="1"/>
  <c r="DD10" i="1"/>
  <c r="BU21" i="1"/>
  <c r="BH21" i="1"/>
  <c r="BD21" i="1"/>
  <c r="AM21" i="1"/>
  <c r="AQ21" i="1"/>
  <c r="AH21" i="1"/>
  <c r="I21" i="1"/>
  <c r="DD21" i="1"/>
  <c r="BU20" i="1"/>
  <c r="BG20" i="1"/>
  <c r="AL20" i="1"/>
  <c r="AP20" i="1"/>
  <c r="AX20" i="1"/>
  <c r="BR19" i="1"/>
  <c r="AM19" i="1"/>
  <c r="AQ19" i="1"/>
  <c r="AL19" i="1"/>
  <c r="AP19" i="1"/>
  <c r="BQ15" i="1"/>
  <c r="AG15" i="1"/>
  <c r="AH15" i="1"/>
  <c r="BS11" i="1"/>
  <c r="BQ11" i="1"/>
  <c r="BG11" i="1"/>
  <c r="BE11" i="1"/>
  <c r="AI11" i="1"/>
  <c r="AG11" i="1"/>
  <c r="CS27" i="1"/>
  <c r="DF21" i="1"/>
  <c r="I26" i="1"/>
  <c r="CS26" i="1"/>
  <c r="BO26" i="1"/>
  <c r="Y26" i="1"/>
  <c r="DE25" i="1"/>
  <c r="DF25" i="1"/>
  <c r="DF24" i="1"/>
  <c r="DE22" i="1"/>
  <c r="CS22" i="1"/>
  <c r="CS16" i="1"/>
  <c r="DD15" i="1"/>
  <c r="DF15" i="1"/>
  <c r="DE14" i="1"/>
  <c r="DG14" i="1"/>
  <c r="DG33" i="1"/>
  <c r="DF10" i="1"/>
  <c r="DE26" i="1"/>
  <c r="DD26" i="1"/>
  <c r="DC21" i="1"/>
  <c r="DE21" i="1"/>
  <c r="CS21" i="1"/>
  <c r="DE18" i="1"/>
  <c r="DE12" i="1"/>
  <c r="I12" i="1"/>
  <c r="DD12" i="1"/>
  <c r="DE11" i="1"/>
  <c r="AX26" i="1"/>
  <c r="BI26" i="1"/>
  <c r="AY26" i="1"/>
  <c r="DE31" i="1"/>
  <c r="DF20" i="1"/>
  <c r="DF18" i="1"/>
  <c r="CS12" i="1"/>
  <c r="CS33" i="1"/>
  <c r="DF19" i="1"/>
  <c r="I32" i="1"/>
  <c r="DC32" i="1"/>
  <c r="BN31" i="1"/>
  <c r="Y31" i="1"/>
  <c r="BH31" i="1"/>
  <c r="BU31" i="1"/>
  <c r="AH31" i="1"/>
  <c r="BS31" i="1"/>
  <c r="BG31" i="1"/>
  <c r="BD31" i="1"/>
  <c r="AI31" i="1"/>
  <c r="AA31" i="1"/>
  <c r="BR30" i="1"/>
  <c r="AH30" i="1"/>
  <c r="AG30" i="1"/>
  <c r="BA30" i="1"/>
  <c r="BJ30" i="1"/>
  <c r="BL30" i="1"/>
  <c r="AS30" i="1"/>
  <c r="T30" i="1"/>
  <c r="BM30" i="1"/>
  <c r="AZ30" i="1"/>
  <c r="BO30" i="1"/>
  <c r="BS30" i="1"/>
  <c r="BQ30" i="1"/>
  <c r="BG30" i="1"/>
  <c r="BD30" i="1"/>
  <c r="AI30" i="1"/>
  <c r="AA30" i="1"/>
  <c r="BE30" i="1"/>
  <c r="I30" i="1"/>
  <c r="DC30" i="1"/>
  <c r="AL30" i="1"/>
  <c r="AP30" i="1"/>
  <c r="AR30" i="1"/>
  <c r="BT30" i="1"/>
  <c r="BU29" i="1"/>
  <c r="BR29" i="1"/>
  <c r="DD28" i="1"/>
  <c r="AH28" i="1"/>
  <c r="AM28" i="1"/>
  <c r="AQ28" i="1"/>
  <c r="AV28" i="1"/>
  <c r="AL28" i="1"/>
  <c r="AP28" i="1"/>
  <c r="AI28" i="1"/>
  <c r="BG28" i="1"/>
  <c r="BS28" i="1"/>
  <c r="AY27" i="1"/>
  <c r="BA27" i="1"/>
  <c r="I27" i="1"/>
  <c r="DD27" i="1"/>
  <c r="BL27" i="1"/>
  <c r="BO27" i="1"/>
  <c r="AZ27" i="1"/>
  <c r="AV27" i="1"/>
  <c r="BQ27" i="1"/>
  <c r="AR29" i="1"/>
  <c r="S29" i="1"/>
  <c r="BI29" i="1"/>
  <c r="AW29" i="1"/>
  <c r="BM29" i="1"/>
  <c r="W29" i="1"/>
  <c r="BA29" i="1"/>
  <c r="I29" i="1"/>
  <c r="BN29" i="1"/>
  <c r="Y29" i="1"/>
  <c r="BT29" i="1"/>
  <c r="BJ29" i="1"/>
  <c r="BO29" i="1"/>
  <c r="AX29" i="1"/>
  <c r="CS25" i="1"/>
  <c r="CT25" i="1"/>
  <c r="BD24" i="1"/>
  <c r="BR24" i="1"/>
  <c r="AM24" i="1"/>
  <c r="AQ24" i="1"/>
  <c r="AL24" i="1"/>
  <c r="AP24" i="1"/>
  <c r="AG24" i="1"/>
  <c r="DF23" i="1"/>
  <c r="BS23" i="1"/>
  <c r="AY20" i="1"/>
  <c r="I20" i="1"/>
  <c r="DD20" i="1"/>
  <c r="DC20" i="1"/>
  <c r="BI20" i="1"/>
  <c r="BR20" i="1"/>
  <c r="AI20" i="1"/>
  <c r="I19" i="1"/>
  <c r="DD19" i="1"/>
  <c r="AW16" i="1"/>
  <c r="DF16" i="1"/>
  <c r="AL18" i="1"/>
  <c r="AP18" i="1"/>
  <c r="DF17" i="1"/>
  <c r="DF27" i="1"/>
  <c r="I31" i="1"/>
  <c r="DD31" i="1"/>
  <c r="DF30" i="1"/>
  <c r="DD30" i="1"/>
  <c r="AY30" i="1"/>
  <c r="BI30" i="1"/>
  <c r="S30" i="1"/>
  <c r="AX30" i="1"/>
  <c r="AX28" i="1"/>
  <c r="AW28" i="1"/>
  <c r="I24" i="1"/>
  <c r="DD24" i="1"/>
  <c r="CS31" i="1"/>
  <c r="DF29" i="1"/>
  <c r="CS18" i="1"/>
  <c r="DE24" i="1"/>
  <c r="AS32" i="1"/>
  <c r="T32" i="1"/>
  <c r="BN32" i="1"/>
  <c r="BT32" i="1"/>
  <c r="Y32" i="1"/>
  <c r="BJ32" i="1"/>
  <c r="W32" i="1"/>
  <c r="AZ32" i="1"/>
  <c r="BO32" i="1"/>
  <c r="BL32" i="1"/>
  <c r="BM32" i="1"/>
  <c r="BA32" i="1"/>
  <c r="AW32" i="1"/>
  <c r="AX32" i="1"/>
  <c r="AR32" i="1"/>
  <c r="S32" i="1"/>
  <c r="Q32" i="1"/>
  <c r="BI32" i="1"/>
  <c r="AY32" i="1"/>
  <c r="CT31" i="1"/>
  <c r="AG25" i="1"/>
  <c r="AI25" i="1"/>
  <c r="AH25" i="1"/>
  <c r="BR25" i="1"/>
  <c r="DD23" i="1"/>
  <c r="AZ15" i="1"/>
  <c r="W15" i="1"/>
  <c r="BA15" i="1"/>
  <c r="BL15" i="1"/>
  <c r="AS15" i="1"/>
  <c r="T15" i="1"/>
  <c r="Q15" i="1"/>
  <c r="Y15" i="1"/>
  <c r="BT15" i="1"/>
  <c r="BJ15" i="1"/>
  <c r="AW15" i="1"/>
  <c r="AY15" i="1"/>
  <c r="AR15" i="1"/>
  <c r="S15" i="1"/>
  <c r="I15" i="1"/>
  <c r="DE15" i="1"/>
  <c r="AH18" i="1"/>
  <c r="AA18" i="1"/>
  <c r="AI18" i="1"/>
  <c r="BH18" i="1"/>
  <c r="BU18" i="1"/>
  <c r="AM18" i="1"/>
  <c r="AQ18" i="1"/>
  <c r="AV18" i="1"/>
  <c r="BG18" i="1"/>
  <c r="BE18" i="1"/>
  <c r="AL17" i="1"/>
  <c r="AP17" i="1"/>
  <c r="AW18" i="1"/>
  <c r="BT18" i="1"/>
  <c r="W18" i="1"/>
  <c r="Y19" i="1"/>
  <c r="AS19" i="1"/>
  <c r="T19" i="1"/>
  <c r="BO19" i="1"/>
  <c r="BN19" i="1"/>
  <c r="BL19" i="1"/>
  <c r="W19" i="1"/>
  <c r="BA19" i="1"/>
  <c r="BJ19" i="1"/>
  <c r="BT19" i="1"/>
  <c r="AZ19" i="1"/>
  <c r="BM19" i="1"/>
  <c r="AR19" i="1"/>
  <c r="S19" i="1"/>
  <c r="Q19" i="1"/>
  <c r="BL21" i="1"/>
  <c r="BT21" i="1"/>
  <c r="BO21" i="1"/>
  <c r="BM21" i="1"/>
  <c r="AS21" i="1"/>
  <c r="T21" i="1"/>
  <c r="BN21" i="1"/>
  <c r="BA21" i="1"/>
  <c r="BJ21" i="1"/>
  <c r="AZ21" i="1"/>
  <c r="Y21" i="1"/>
  <c r="W21" i="1"/>
  <c r="CU33" i="1"/>
  <c r="CV33" i="1"/>
  <c r="I23" i="1"/>
  <c r="BA23" i="1"/>
  <c r="BL23" i="1"/>
  <c r="AS23" i="1"/>
  <c r="T23" i="1"/>
  <c r="BT23" i="1"/>
  <c r="AX24" i="1"/>
  <c r="AW24" i="1"/>
  <c r="AV24" i="1"/>
  <c r="DA33" i="1"/>
  <c r="CR33" i="1"/>
  <c r="AY18" i="1"/>
  <c r="I18" i="1"/>
  <c r="DD18" i="1"/>
  <c r="DC18" i="1"/>
  <c r="AX17" i="1"/>
  <c r="BI17" i="1"/>
  <c r="AY17" i="1"/>
  <c r="DC33" i="1"/>
  <c r="BH17" i="1"/>
  <c r="BU17" i="1"/>
  <c r="BS17" i="1"/>
  <c r="AM17" i="1"/>
  <c r="AQ17" i="1"/>
  <c r="AA17" i="1"/>
  <c r="AK17" i="1"/>
  <c r="AO17" i="1"/>
  <c r="AR17" i="1"/>
  <c r="S17" i="1"/>
  <c r="AI17" i="1"/>
  <c r="BD17" i="1"/>
  <c r="BR17" i="1"/>
  <c r="BG17" i="1"/>
  <c r="BE17" i="1"/>
  <c r="AH17" i="1"/>
  <c r="BJ12" i="1"/>
  <c r="BL12" i="1"/>
  <c r="Y12" i="1"/>
  <c r="BT12" i="1"/>
  <c r="AZ12" i="1"/>
  <c r="BN12" i="1"/>
  <c r="W12" i="1"/>
  <c r="BM12" i="1"/>
  <c r="BJ10" i="1"/>
  <c r="AZ10" i="1"/>
  <c r="BT10" i="1"/>
  <c r="BL10" i="1"/>
  <c r="BO10" i="1"/>
  <c r="BM10" i="1"/>
  <c r="BA10" i="1"/>
  <c r="BN10" i="1"/>
  <c r="BI18" i="1"/>
  <c r="AX18" i="1"/>
  <c r="AR18" i="1"/>
  <c r="S18" i="1"/>
  <c r="Q18" i="1"/>
  <c r="AW21" i="1"/>
  <c r="AV21" i="1"/>
  <c r="W10" i="1"/>
  <c r="BL18" i="1"/>
  <c r="Y18" i="1"/>
  <c r="BM18" i="1"/>
  <c r="BA18" i="1"/>
  <c r="AS18" i="1"/>
  <c r="T18" i="1"/>
  <c r="AZ18" i="1"/>
  <c r="BH13" i="1"/>
  <c r="BG13" i="1"/>
  <c r="AH13" i="1"/>
  <c r="AM13" i="1"/>
  <c r="AQ13" i="1"/>
  <c r="BR13" i="1"/>
  <c r="BE13" i="1"/>
  <c r="AK13" i="1"/>
  <c r="AO13" i="1"/>
  <c r="AA13" i="1"/>
  <c r="AG13" i="1"/>
  <c r="BS13" i="1"/>
  <c r="AL13" i="1"/>
  <c r="AP13" i="1"/>
  <c r="BI24" i="1"/>
  <c r="BJ18" i="1"/>
  <c r="AR31" i="1"/>
  <c r="S31" i="1"/>
  <c r="AY31" i="1"/>
  <c r="BI28" i="1"/>
  <c r="AY28" i="1"/>
  <c r="BI19" i="1"/>
  <c r="AX19" i="1"/>
  <c r="BN26" i="1"/>
  <c r="BM26" i="1"/>
  <c r="BA26" i="1"/>
  <c r="AZ26" i="1"/>
  <c r="BJ26" i="1"/>
  <c r="BT26" i="1"/>
  <c r="AS26" i="1"/>
  <c r="T26" i="1"/>
  <c r="W26" i="1"/>
  <c r="AR26" i="1"/>
  <c r="S26" i="1"/>
  <c r="Y10" i="1"/>
  <c r="BU13" i="1"/>
  <c r="AG17" i="1"/>
  <c r="BJ31" i="1"/>
  <c r="BA31" i="1"/>
  <c r="BL31" i="1"/>
  <c r="BT31" i="1"/>
  <c r="W31" i="1"/>
  <c r="BM31" i="1"/>
  <c r="BO31" i="1"/>
  <c r="AZ31" i="1"/>
  <c r="Y27" i="1"/>
  <c r="BM27" i="1"/>
  <c r="BN27" i="1"/>
  <c r="BJ27" i="1"/>
  <c r="AS27" i="1"/>
  <c r="T27" i="1"/>
  <c r="BT27" i="1"/>
  <c r="AZ23" i="1"/>
  <c r="W23" i="1"/>
  <c r="BN23" i="1"/>
  <c r="BM23" i="1"/>
  <c r="Y23" i="1"/>
  <c r="BO23" i="1"/>
  <c r="DK33" i="1"/>
  <c r="BD13" i="1"/>
  <c r="AI13" i="1"/>
  <c r="AY24" i="1"/>
  <c r="BJ23" i="1"/>
  <c r="BN18" i="1"/>
  <c r="BO18" i="1"/>
  <c r="BI31" i="1"/>
  <c r="AY19" i="1"/>
  <c r="W27" i="1"/>
  <c r="AS31" i="1"/>
  <c r="T31" i="1"/>
  <c r="BL26" i="1"/>
  <c r="BA12" i="1"/>
  <c r="AS10" i="1"/>
  <c r="T10" i="1"/>
  <c r="Q10" i="1"/>
  <c r="AW22" i="1"/>
  <c r="AV22" i="1"/>
  <c r="BQ17" i="1"/>
  <c r="DD29" i="1"/>
  <c r="AK25" i="1"/>
  <c r="AO25" i="1"/>
  <c r="BD25" i="1"/>
  <c r="AL25" i="1"/>
  <c r="AP25" i="1"/>
  <c r="BQ25" i="1"/>
  <c r="AA25" i="1"/>
  <c r="AM25" i="1"/>
  <c r="AQ25" i="1"/>
  <c r="BH25" i="1"/>
  <c r="AS25" i="1"/>
  <c r="T25" i="1"/>
  <c r="BG25" i="1"/>
  <c r="BU25" i="1"/>
  <c r="BS25" i="1"/>
  <c r="CZ33" i="1"/>
  <c r="BL29" i="1"/>
  <c r="AS29" i="1"/>
  <c r="T29" i="1"/>
  <c r="Q29" i="1"/>
  <c r="AZ29" i="1"/>
  <c r="BH16" i="1"/>
  <c r="BU16" i="1"/>
  <c r="BG16" i="1"/>
  <c r="AL16" i="1"/>
  <c r="AP16" i="1"/>
  <c r="BQ16" i="1"/>
  <c r="AK16" i="1"/>
  <c r="AO16" i="1"/>
  <c r="AH16" i="1"/>
  <c r="BD16" i="1"/>
  <c r="BR16" i="1"/>
  <c r="AG16" i="1"/>
  <c r="AS16" i="1"/>
  <c r="T16" i="1"/>
  <c r="BD14" i="1"/>
  <c r="AK14" i="1"/>
  <c r="AO14" i="1"/>
  <c r="AM14" i="1"/>
  <c r="AQ14" i="1"/>
  <c r="BH14" i="1"/>
  <c r="BQ14" i="1"/>
  <c r="AS14" i="1"/>
  <c r="T14" i="1"/>
  <c r="AL14" i="1"/>
  <c r="AP14" i="1"/>
  <c r="BS14" i="1"/>
  <c r="AG14" i="1"/>
  <c r="BS12" i="1"/>
  <c r="BG12" i="1"/>
  <c r="AM12" i="1"/>
  <c r="AQ12" i="1"/>
  <c r="AV10" i="1"/>
  <c r="AW10" i="1"/>
  <c r="BI15" i="1"/>
  <c r="AW19" i="1"/>
  <c r="AV19" i="1"/>
  <c r="BO15" i="1"/>
  <c r="BN15" i="1"/>
  <c r="AR27" i="1"/>
  <c r="S27" i="1"/>
  <c r="BI27" i="1"/>
  <c r="AX10" i="1"/>
  <c r="AY10" i="1"/>
  <c r="AK22" i="1"/>
  <c r="AO22" i="1"/>
  <c r="AG22" i="1"/>
  <c r="BG22" i="1"/>
  <c r="BD22" i="1"/>
  <c r="AA22" i="1"/>
  <c r="AL22" i="1"/>
  <c r="AP22" i="1"/>
  <c r="BE22" i="1"/>
  <c r="BH22" i="1"/>
  <c r="BU22" i="1"/>
  <c r="BR22" i="1"/>
  <c r="BQ22" i="1"/>
  <c r="AK20" i="1"/>
  <c r="AO20" i="1"/>
  <c r="BD20" i="1"/>
  <c r="AM20" i="1"/>
  <c r="AQ20" i="1"/>
  <c r="BE20" i="1"/>
  <c r="AG20" i="1"/>
  <c r="BH20" i="1"/>
  <c r="AA20" i="1"/>
  <c r="AH12" i="1"/>
  <c r="BE12" i="1"/>
  <c r="BD12" i="1"/>
  <c r="AS12" i="1"/>
  <c r="T12" i="1"/>
  <c r="AA12" i="1"/>
  <c r="BU12" i="1"/>
  <c r="AI12" i="1"/>
  <c r="AL12" i="1"/>
  <c r="AP12" i="1"/>
  <c r="BR12" i="1"/>
  <c r="AR11" i="1"/>
  <c r="S11" i="1"/>
  <c r="AZ11" i="1"/>
  <c r="BM11" i="1"/>
  <c r="W11" i="1"/>
  <c r="Y30" i="1"/>
  <c r="BN30" i="1"/>
  <c r="W30" i="1"/>
  <c r="Q30" i="1"/>
  <c r="AA28" i="1"/>
  <c r="BH28" i="1"/>
  <c r="AG28" i="1"/>
  <c r="AK28" i="1"/>
  <c r="AO28" i="1"/>
  <c r="AM23" i="1"/>
  <c r="AQ23" i="1"/>
  <c r="BE23" i="1"/>
  <c r="AL23" i="1"/>
  <c r="AP23" i="1"/>
  <c r="AH23" i="1"/>
  <c r="BG23" i="1"/>
  <c r="BQ23" i="1"/>
  <c r="BR23" i="1"/>
  <c r="AA23" i="1"/>
  <c r="AL21" i="1"/>
  <c r="AP21" i="1"/>
  <c r="AA21" i="1"/>
  <c r="AG21" i="1"/>
  <c r="BE21" i="1"/>
  <c r="BR21" i="1"/>
  <c r="AG18" i="1"/>
  <c r="BR18" i="1"/>
  <c r="BS18" i="1"/>
  <c r="AM31" i="1"/>
  <c r="AQ31" i="1"/>
  <c r="BE31" i="1"/>
  <c r="AM30" i="1"/>
  <c r="AQ30" i="1"/>
  <c r="BU30" i="1"/>
  <c r="BG27" i="1"/>
  <c r="AA27" i="1"/>
  <c r="AH27" i="1"/>
  <c r="BQ26" i="1"/>
  <c r="BU26" i="1"/>
  <c r="AM26" i="1"/>
  <c r="AQ26" i="1"/>
  <c r="BS26" i="1"/>
  <c r="AG26" i="1"/>
  <c r="AK24" i="1"/>
  <c r="AO24" i="1"/>
  <c r="AR24" i="1"/>
  <c r="S24" i="1"/>
  <c r="BH24" i="1"/>
  <c r="AH24" i="1"/>
  <c r="AR21" i="1"/>
  <c r="S21" i="1"/>
  <c r="Q21" i="1"/>
  <c r="AY21" i="1"/>
  <c r="AX21" i="1"/>
  <c r="BI21" i="1"/>
  <c r="AV23" i="1"/>
  <c r="AW23" i="1"/>
  <c r="BO28" i="1"/>
  <c r="AS28" i="1"/>
  <c r="T28" i="1"/>
  <c r="BM28" i="1"/>
  <c r="BA28" i="1"/>
  <c r="AZ28" i="1"/>
  <c r="BL28" i="1"/>
  <c r="W28" i="1"/>
  <c r="BJ28" i="1"/>
  <c r="BN28" i="1"/>
  <c r="BT28" i="1"/>
  <c r="AR28" i="1"/>
  <c r="S28" i="1"/>
  <c r="Y28" i="1"/>
  <c r="AX12" i="1"/>
  <c r="AR12" i="1"/>
  <c r="S12" i="1"/>
  <c r="Q12" i="1"/>
  <c r="AY12" i="1"/>
  <c r="BI12" i="1"/>
  <c r="AW20" i="1"/>
  <c r="AV20" i="1"/>
  <c r="AY22" i="1"/>
  <c r="AR22" i="1"/>
  <c r="S22" i="1"/>
  <c r="AX22" i="1"/>
  <c r="BI22" i="1"/>
  <c r="AX16" i="1"/>
  <c r="BI16" i="1"/>
  <c r="AY16" i="1"/>
  <c r="AR16" i="1"/>
  <c r="S16" i="1"/>
  <c r="Q16" i="1"/>
  <c r="BI25" i="1"/>
  <c r="AY25" i="1"/>
  <c r="AR25" i="1"/>
  <c r="S25" i="1"/>
  <c r="AX25" i="1"/>
  <c r="Q26" i="1"/>
  <c r="AV13" i="1"/>
  <c r="AW13" i="1"/>
  <c r="AZ24" i="1"/>
  <c r="AS24" i="1"/>
  <c r="T24" i="1"/>
  <c r="BJ24" i="1"/>
  <c r="BL24" i="1"/>
  <c r="BM24" i="1"/>
  <c r="BN24" i="1"/>
  <c r="W24" i="1"/>
  <c r="Q24" i="1"/>
  <c r="BO24" i="1"/>
  <c r="Y24" i="1"/>
  <c r="BT24" i="1"/>
  <c r="BA24" i="1"/>
  <c r="AV31" i="1"/>
  <c r="AW31" i="1"/>
  <c r="BJ14" i="1"/>
  <c r="W14" i="1"/>
  <c r="AZ14" i="1"/>
  <c r="BN14" i="1"/>
  <c r="BL14" i="1"/>
  <c r="BM14" i="1"/>
  <c r="BT14" i="1"/>
  <c r="BO14" i="1"/>
  <c r="Y14" i="1"/>
  <c r="BA14" i="1"/>
  <c r="W17" i="1"/>
  <c r="BN17" i="1"/>
  <c r="BA17" i="1"/>
  <c r="I17" i="1"/>
  <c r="DE17" i="1"/>
  <c r="DE33" i="1"/>
  <c r="AZ17" i="1"/>
  <c r="BL17" i="1"/>
  <c r="BJ17" i="1"/>
  <c r="BT17" i="1"/>
  <c r="BO17" i="1"/>
  <c r="Y17" i="1"/>
  <c r="BM17" i="1"/>
  <c r="AV30" i="1"/>
  <c r="AW30" i="1"/>
  <c r="AY23" i="1"/>
  <c r="AR23" i="1"/>
  <c r="S23" i="1"/>
  <c r="Q23" i="1"/>
  <c r="AX23" i="1"/>
  <c r="BI23" i="1"/>
  <c r="BL22" i="1"/>
  <c r="Y22" i="1"/>
  <c r="AZ22" i="1"/>
  <c r="BA22" i="1"/>
  <c r="BJ22" i="1"/>
  <c r="BT22" i="1"/>
  <c r="BM22" i="1"/>
  <c r="BN22" i="1"/>
  <c r="AS22" i="1"/>
  <c r="T22" i="1"/>
  <c r="W22" i="1"/>
  <c r="BO22" i="1"/>
  <c r="Q27" i="1"/>
  <c r="AW12" i="1"/>
  <c r="AV12" i="1"/>
  <c r="AW25" i="1"/>
  <c r="AV25" i="1"/>
  <c r="BI13" i="1"/>
  <c r="AX13" i="1"/>
  <c r="AY13" i="1"/>
  <c r="I13" i="1"/>
  <c r="DD13" i="1"/>
  <c r="DD33" i="1"/>
  <c r="AR13" i="1"/>
  <c r="S13" i="1"/>
  <c r="AZ13" i="1"/>
  <c r="BN13" i="1"/>
  <c r="BL13" i="1"/>
  <c r="BT13" i="1"/>
  <c r="BO13" i="1"/>
  <c r="BA13" i="1"/>
  <c r="W13" i="1"/>
  <c r="BJ13" i="1"/>
  <c r="BM13" i="1"/>
  <c r="Y13" i="1"/>
  <c r="AS13" i="1"/>
  <c r="T13" i="1"/>
  <c r="AS17" i="1"/>
  <c r="T17" i="1"/>
  <c r="Q17" i="1"/>
  <c r="AV17" i="1"/>
  <c r="AW17" i="1"/>
  <c r="AW26" i="1"/>
  <c r="AV26" i="1"/>
  <c r="Q11" i="1"/>
  <c r="AZ20" i="1"/>
  <c r="Y20" i="1"/>
  <c r="W20" i="1"/>
  <c r="BL20" i="1"/>
  <c r="BJ20" i="1"/>
  <c r="BO20" i="1"/>
  <c r="BN20" i="1"/>
  <c r="BA20" i="1"/>
  <c r="BM20" i="1"/>
  <c r="AS20" i="1"/>
  <c r="T20" i="1"/>
  <c r="BT20" i="1"/>
  <c r="AR20" i="1"/>
  <c r="S20" i="1"/>
  <c r="AX14" i="1"/>
  <c r="AR14" i="1"/>
  <c r="S14" i="1"/>
  <c r="BI14" i="1"/>
  <c r="AY14" i="1"/>
  <c r="AV14" i="1"/>
  <c r="AW14" i="1"/>
  <c r="BO16" i="1"/>
  <c r="BM16" i="1"/>
  <c r="BN16" i="1"/>
  <c r="BA16" i="1"/>
  <c r="W16" i="1"/>
  <c r="BJ16" i="1"/>
  <c r="Y16" i="1"/>
  <c r="AZ16" i="1"/>
  <c r="BT16" i="1"/>
  <c r="BL16" i="1"/>
  <c r="BA25" i="1"/>
  <c r="BO25" i="1"/>
  <c r="BT25" i="1"/>
  <c r="BN25" i="1"/>
  <c r="BL25" i="1"/>
  <c r="BJ25" i="1"/>
  <c r="BM25" i="1"/>
  <c r="Y25" i="1"/>
  <c r="AZ25" i="1"/>
  <c r="W25" i="1"/>
  <c r="Q31" i="1"/>
  <c r="Q13" i="1"/>
  <c r="Q22" i="1"/>
  <c r="Q14" i="1"/>
  <c r="Q28" i="1"/>
  <c r="Q20" i="1"/>
  <c r="Q25" i="1"/>
</calcChain>
</file>

<file path=xl/comments1.xml><?xml version="1.0" encoding="utf-8"?>
<comments xmlns="http://schemas.openxmlformats.org/spreadsheetml/2006/main">
  <authors>
    <author>Chris Buczkowski</author>
  </authors>
  <commentList>
    <comment ref="L4" authorId="0" shapeId="0">
      <text>
        <r>
          <rPr>
            <b/>
            <sz val="7"/>
            <color indexed="81"/>
            <rFont val="Tahoma"/>
          </rPr>
          <t>Today's date:
Ctrl+Shift+D</t>
        </r>
      </text>
    </comment>
    <comment ref="C8" authorId="0" shapeId="0">
      <text>
        <r>
          <rPr>
            <b/>
            <sz val="7"/>
            <color indexed="81"/>
            <rFont val="Tahoma"/>
          </rPr>
          <t xml:space="preserve">AutoFill bar marks:
Ctrl B
</t>
        </r>
        <r>
          <rPr>
            <sz val="7"/>
            <color indexed="81"/>
            <rFont val="Tahoma"/>
            <family val="2"/>
          </rPr>
          <t>(note: any number can
be entered in top row)</t>
        </r>
      </text>
    </comment>
    <comment ref="D8" authorId="0" shapeId="0">
      <text>
        <r>
          <rPr>
            <b/>
            <sz val="7"/>
            <color indexed="81"/>
            <rFont val="Tahoma"/>
          </rPr>
          <t>AutoFill bar type:
Ctrl R for grade R
Ctrl T for grade T</t>
        </r>
      </text>
    </comment>
    <comment ref="F8" authorId="0" shapeId="0">
      <text>
        <r>
          <rPr>
            <b/>
            <sz val="7"/>
            <color indexed="81"/>
            <rFont val="Tahoma"/>
          </rPr>
          <t xml:space="preserve">AutoFill number:
Ctrl N
</t>
        </r>
        <r>
          <rPr>
            <sz val="7"/>
            <color indexed="81"/>
            <rFont val="Tahoma"/>
            <family val="2"/>
          </rPr>
          <t>(enter number in top bar
mark row prior to using)</t>
        </r>
      </text>
    </comment>
    <comment ref="AO9" authorId="0" shapeId="0">
      <text>
        <r>
          <rPr>
            <b/>
            <sz val="7"/>
            <color indexed="81"/>
            <rFont val="Tahoma"/>
          </rPr>
          <t>Minimum radius
of a bend.</t>
        </r>
      </text>
    </comment>
    <comment ref="AP9" authorId="0" shapeId="0">
      <text>
        <r>
          <rPr>
            <b/>
            <sz val="7"/>
            <color indexed="81"/>
            <rFont val="Tahoma"/>
          </rPr>
          <t>Length of bar to form
a minimum bend.</t>
        </r>
      </text>
    </comment>
    <comment ref="AQ9" authorId="0" shapeId="0">
      <text>
        <r>
          <rPr>
            <b/>
            <sz val="7"/>
            <color indexed="81"/>
            <rFont val="Tahoma"/>
          </rPr>
          <t>Length of bar to form
a minimum hook.</t>
        </r>
      </text>
    </comment>
    <comment ref="AR9" authorId="0" shapeId="0">
      <text>
        <r>
          <rPr>
            <b/>
            <sz val="7"/>
            <color indexed="81"/>
            <rFont val="Tahoma"/>
          </rPr>
          <t>See Bend Dimensions
on Help sheet.</t>
        </r>
      </text>
    </comment>
    <comment ref="AS9" authorId="0" shapeId="0">
      <text>
        <r>
          <rPr>
            <b/>
            <sz val="7"/>
            <color indexed="81"/>
            <rFont val="Tahoma"/>
          </rPr>
          <t>See Bend Dimensions
on Help sheet.</t>
        </r>
      </text>
    </comment>
    <comment ref="L33" authorId="0" shapeId="0">
      <text>
        <r>
          <rPr>
            <b/>
            <sz val="7"/>
            <color indexed="81"/>
            <rFont val="Tahoma"/>
          </rPr>
          <t>To register, refer to the
About sheet for details.</t>
        </r>
      </text>
    </comment>
    <comment ref="CP35" authorId="0" shapeId="0">
      <text>
        <r>
          <rPr>
            <b/>
            <sz val="7"/>
            <color indexed="81"/>
            <rFont val="Tahoma"/>
          </rPr>
          <t>Click on the 'Totals' button to
calculate or update the total
weights for the full schedule.</t>
        </r>
      </text>
    </comment>
  </commentList>
</comments>
</file>

<file path=xl/comments2.xml><?xml version="1.0" encoding="utf-8"?>
<comments xmlns="http://schemas.openxmlformats.org/spreadsheetml/2006/main">
  <authors>
    <author>Chris Buczkowski</author>
  </authors>
  <commentList>
    <comment ref="Q5" authorId="0" shapeId="0">
      <text>
        <r>
          <rPr>
            <b/>
            <sz val="7"/>
            <color indexed="81"/>
            <rFont val="Tahoma"/>
          </rPr>
          <t>Minimum radius
for scheduling.</t>
        </r>
      </text>
    </comment>
    <comment ref="R5" authorId="0" shapeId="0">
      <text>
        <r>
          <rPr>
            <b/>
            <sz val="7"/>
            <color indexed="81"/>
            <rFont val="Tahoma"/>
          </rPr>
          <t>Ref. Table 3, BS 4466 : 1989</t>
        </r>
      </text>
    </comment>
    <comment ref="S5" authorId="0" shapeId="0">
      <text>
        <r>
          <rPr>
            <b/>
            <sz val="7"/>
            <color indexed="81"/>
            <rFont val="Tahoma"/>
          </rPr>
          <t>Ref. Table 3, BS 4466 : 1989</t>
        </r>
      </text>
    </comment>
    <comment ref="T5" authorId="0" shapeId="0">
      <text>
        <r>
          <rPr>
            <b/>
            <sz val="7"/>
            <color indexed="81"/>
            <rFont val="Tahoma"/>
          </rPr>
          <t>Ref. Figure 7, BS 4466 : 1989</t>
        </r>
      </text>
    </comment>
    <comment ref="U5" authorId="0" shapeId="0">
      <text>
        <r>
          <rPr>
            <b/>
            <sz val="7"/>
            <color indexed="81"/>
            <rFont val="Tahoma"/>
          </rPr>
          <t>Minimum radius
for scheduling.</t>
        </r>
      </text>
    </comment>
    <comment ref="V5" authorId="0" shapeId="0">
      <text>
        <r>
          <rPr>
            <b/>
            <sz val="7"/>
            <color indexed="81"/>
            <rFont val="Tahoma"/>
          </rPr>
          <t>Ref. Table 3, BS 4466 : 1989</t>
        </r>
      </text>
    </comment>
    <comment ref="W5" authorId="0" shapeId="0">
      <text>
        <r>
          <rPr>
            <b/>
            <sz val="7"/>
            <color indexed="81"/>
            <rFont val="Tahoma"/>
          </rPr>
          <t>Ref. Table 3, BS 4466 : 1989</t>
        </r>
      </text>
    </comment>
    <comment ref="X5" authorId="0" shapeId="0">
      <text>
        <r>
          <rPr>
            <b/>
            <sz val="7"/>
            <color indexed="81"/>
            <rFont val="Tahoma"/>
          </rPr>
          <t>Ref. Figure 7, BS 4466 : 1989</t>
        </r>
      </text>
    </comment>
    <comment ref="T20" authorId="0" shapeId="0">
      <text>
        <r>
          <rPr>
            <b/>
            <sz val="7"/>
            <color indexed="81"/>
            <rFont val="Tahoma"/>
          </rPr>
          <t>In terms of 'd'</t>
        </r>
      </text>
    </comment>
    <comment ref="V20" authorId="0" shapeId="0">
      <text>
        <r>
          <rPr>
            <b/>
            <sz val="7"/>
            <color indexed="81"/>
            <rFont val="Tahoma"/>
          </rPr>
          <t>Table 3.24
BS 8110 : Part 1 : 1997</t>
        </r>
      </text>
    </comment>
    <comment ref="Z21" authorId="0" shapeId="0">
      <text>
        <r>
          <rPr>
            <b/>
            <sz val="7"/>
            <color indexed="81"/>
            <rFont val="Tahoma"/>
          </rPr>
          <t>Deduction for reinforcement
fitting between two concrete
faces.</t>
        </r>
      </text>
    </comment>
  </commentList>
</comments>
</file>

<file path=xl/comments3.xml><?xml version="1.0" encoding="utf-8"?>
<comments xmlns="http://schemas.openxmlformats.org/spreadsheetml/2006/main">
  <authors>
    <author>Chris Buczkowski</author>
  </authors>
  <commentList>
    <comment ref="G13" authorId="0" shapeId="0">
      <text>
        <r>
          <rPr>
            <b/>
            <sz val="7"/>
            <color indexed="81"/>
            <rFont val="Tahoma"/>
          </rPr>
          <t>If the RCC Spreadsheets
have been setup, then the
Tekton font should be
installed already.</t>
        </r>
      </text>
    </comment>
  </commentList>
</comments>
</file>

<file path=xl/sharedStrings.xml><?xml version="1.0" encoding="utf-8"?>
<sst xmlns="http://schemas.openxmlformats.org/spreadsheetml/2006/main" count="489" uniqueCount="381">
  <si>
    <t xml:space="preserve">Info sheet for xls file export. Help sheet. Added min. dimension &amp; deductions tables. Minor miscellaneous revisions.
Shape code 62, 45 degree error message triggered when B &gt; (A+d)/(sqrt 2) instead of B &gt; A/(sqrt 2). Shape codes 41, 42, 43, 45 &amp; 49 amended similarly. (Phil Machin, Scott Wilson &amp; Co Ltd) </t>
  </si>
  <si>
    <r>
      <t>Create your own bar data file and import direct into Bar Schedule! With this method you can do a complete block, cut and paste without worrying about avoiding the protected columns.
Using th</t>
    </r>
    <r>
      <rPr>
        <sz val="10"/>
        <rFont val="Arial"/>
        <family val="2"/>
      </rPr>
      <t xml:space="preserve">e </t>
    </r>
    <r>
      <rPr>
        <b/>
        <sz val="10"/>
        <rFont val="Arial"/>
        <family val="2"/>
      </rPr>
      <t>New</t>
    </r>
    <r>
      <rPr>
        <sz val="10"/>
        <rFont val="Arial"/>
        <family val="2"/>
      </rPr>
      <t xml:space="preserve"> f</t>
    </r>
    <r>
      <rPr>
        <sz val="10"/>
        <rFont val="Arial"/>
        <family val="2"/>
      </rPr>
      <t xml:space="preserve">unction on the schedule sheet, create a bardata.xls file with a number of blank schedule sheets. Cut and paste your data into these sheets. Remember to unprotect the sheets first! Load Bar Schedule and use </t>
    </r>
    <r>
      <rPr>
        <b/>
        <sz val="10"/>
        <rFont val="Arial"/>
        <family val="2"/>
      </rPr>
      <t>Open</t>
    </r>
    <r>
      <rPr>
        <sz val="10"/>
        <rFont val="Arial"/>
        <family val="2"/>
      </rPr>
      <t xml:space="preserve"> to import the data. When pasting your data, do not worry when pasting the "No. Off" and "Total length" data as these will automatically be ignored by Bar Schedule.</t>
    </r>
  </si>
  <si>
    <t>PROBLEMS USING EXCEL</t>
  </si>
  <si>
    <r>
      <t xml:space="preserve">There appears to be a bug in Excel when using the </t>
    </r>
    <r>
      <rPr>
        <b/>
        <sz val="10"/>
        <rFont val="Arial"/>
        <family val="2"/>
      </rPr>
      <t>New Sheet</t>
    </r>
    <r>
      <rPr>
        <sz val="10"/>
        <rFont val="Arial"/>
        <family val="2"/>
      </rPr>
      <t xml:space="preserve"> function. Sometimes, immediately after generating a new sheet, a cell may not accept data or a menu may drop down instead. Double click on the cell to clear this problem.</t>
    </r>
  </si>
  <si>
    <r>
      <t xml:space="preserve">When importing a comma delimited text file, try importing to a blank Excel spreadsheet file first. Go to </t>
    </r>
    <r>
      <rPr>
        <b/>
        <sz val="10"/>
        <rFont val="Arial"/>
        <family val="2"/>
      </rPr>
      <t>File</t>
    </r>
    <r>
      <rPr>
        <sz val="10"/>
        <rFont val="Arial"/>
        <family val="2"/>
      </rPr>
      <t xml:space="preserve"> &gt; </t>
    </r>
    <r>
      <rPr>
        <b/>
        <sz val="10"/>
        <rFont val="Arial"/>
        <family val="2"/>
      </rPr>
      <t>Open</t>
    </r>
    <r>
      <rPr>
        <sz val="10"/>
        <rFont val="Arial"/>
        <family val="2"/>
      </rPr>
      <t xml:space="preserve"> and use the 'Files of type:' drop down list to choose the type of file you are importing. A new spreadsheet will be created automatically. Once done, copy and paste from the new spreadsheet to Bar Schedule.</t>
    </r>
  </si>
  <si>
    <r>
      <t xml:space="preserve">When exiting Bar Schedule two messages will appear. The first will offer the option of saving your work in a </t>
    </r>
    <r>
      <rPr>
        <b/>
        <sz val="10"/>
        <rFont val="Arial"/>
        <family val="2"/>
      </rPr>
      <t>bardata.xls</t>
    </r>
    <r>
      <rPr>
        <sz val="10"/>
        <rFont val="Arial"/>
        <family val="2"/>
      </rPr>
      <t xml:space="preserve"> file. The second message will offer the option of saving a copy of the complete Bar Schedule spreadsheet. If you have already saved your work and do not require a copy of the Bar Schedule spreadsheet click </t>
    </r>
    <r>
      <rPr>
        <b/>
        <sz val="10"/>
        <rFont val="Arial"/>
        <family val="2"/>
      </rPr>
      <t>NO</t>
    </r>
    <r>
      <rPr>
        <sz val="10"/>
        <rFont val="Arial"/>
        <family val="2"/>
      </rPr>
      <t xml:space="preserve"> on the second message.</t>
    </r>
  </si>
  <si>
    <r>
      <t xml:space="preserve">To use Bar Schedule, open up Excel and click on the </t>
    </r>
    <r>
      <rPr>
        <b/>
        <u/>
        <sz val="10"/>
        <rFont val="Arial"/>
        <family val="2"/>
      </rPr>
      <t>F</t>
    </r>
    <r>
      <rPr>
        <b/>
        <sz val="10"/>
        <rFont val="Arial"/>
        <family val="2"/>
      </rPr>
      <t>ile</t>
    </r>
    <r>
      <rPr>
        <sz val="10"/>
        <rFont val="Arial"/>
        <family val="2"/>
      </rPr>
      <t xml:space="preserve"> menu and then on </t>
    </r>
    <r>
      <rPr>
        <b/>
        <u/>
        <sz val="10"/>
        <rFont val="Arial"/>
        <family val="2"/>
      </rPr>
      <t>N</t>
    </r>
    <r>
      <rPr>
        <b/>
        <sz val="10"/>
        <rFont val="Arial"/>
        <family val="2"/>
      </rPr>
      <t>ew</t>
    </r>
    <r>
      <rPr>
        <sz val="10"/>
        <rFont val="Arial"/>
        <family val="2"/>
      </rPr>
      <t xml:space="preserve">. Bar Schedule will be displayed under the general tab with the name </t>
    </r>
    <r>
      <rPr>
        <b/>
        <sz val="10"/>
        <rFont val="Arial"/>
        <family val="2"/>
      </rPr>
      <t>Barsched.xlt</t>
    </r>
    <r>
      <rPr>
        <sz val="10"/>
        <rFont val="Arial"/>
        <family val="2"/>
      </rPr>
      <t xml:space="preserve">. Click on Barsched.xlt and then on OK.
To save your work click on </t>
    </r>
    <r>
      <rPr>
        <b/>
        <sz val="10"/>
        <rFont val="Arial"/>
        <family val="2"/>
      </rPr>
      <t>Save</t>
    </r>
    <r>
      <rPr>
        <sz val="10"/>
        <rFont val="Arial"/>
        <family val="2"/>
      </rPr>
      <t xml:space="preserve">. To open a previously stored data file, click on </t>
    </r>
    <r>
      <rPr>
        <b/>
        <sz val="10"/>
        <rFont val="Arial"/>
        <family val="2"/>
      </rPr>
      <t>Open</t>
    </r>
    <r>
      <rPr>
        <sz val="10"/>
        <rFont val="Arial"/>
        <family val="2"/>
      </rPr>
      <t>. Refer to OUTPUT below for more information on data files.</t>
    </r>
  </si>
  <si>
    <t>Thank you for advice to Dr Shaiq U.R. Khan BEng (Civil), MEng, PhD, PE, CEng, FIStructE.</t>
  </si>
  <si>
    <t>Also, thanks to PAC Technologies Ltd for assistance with the SteelPac export facility. Email: pac@pactech.co.uk</t>
  </si>
  <si>
    <t>3.10</t>
  </si>
  <si>
    <r>
      <t xml:space="preserve">This spreadsheet is NOT a public domain program.  It is copyrighted by the Author*. This software is protected by United Kingdom copyright law and also by international treaty provisions. The Author grants you a licence to use this software for evaluation purposes for an indefinite period. You may not use, copy, rent, lease, sell, modify, decompile, unprotect, disassemble, otherwise reverse engineer, or transfer this software except as provided in this agreement. Any such unauthorised use shall result in immediate and automatic termination of this licence. All rights not expressly granted here are reserved to the Author. You may copy and distribute the </t>
    </r>
    <r>
      <rPr>
        <b/>
        <sz val="10"/>
        <rFont val="Arial"/>
        <family val="2"/>
      </rPr>
      <t>unregistered</t>
    </r>
    <r>
      <rPr>
        <sz val="10"/>
        <rFont val="Arial"/>
        <family val="2"/>
      </rPr>
      <t xml:space="preserve"> version of this spreadsheet, completely unaltered, without further permission. The readme.txt file must accompany copies of the spreadsheet.
* The Author is Chris Buczkowski.
</t>
    </r>
  </si>
  <si>
    <t>SteelPac data export facility, delete bar mark facility and weight schedule added.</t>
  </si>
  <si>
    <t>Site ref:</t>
  </si>
  <si>
    <t>Bar schedule ref:</t>
  </si>
  <si>
    <t>Rev:</t>
  </si>
  <si>
    <t>Job no:</t>
  </si>
  <si>
    <t>Date prepared:</t>
  </si>
  <si>
    <t>BAR WEIGHTS (kg)</t>
  </si>
  <si>
    <t>Bar
mark</t>
  </si>
  <si>
    <r>
      <t xml:space="preserve">Type R
</t>
    </r>
    <r>
      <rPr>
        <sz val="10"/>
        <rFont val="Arial"/>
        <family val="2"/>
      </rPr>
      <t>Bar size (mm)</t>
    </r>
  </si>
  <si>
    <r>
      <t xml:space="preserve">Type T
</t>
    </r>
    <r>
      <rPr>
        <sz val="10"/>
        <rFont val="Arial"/>
        <family val="2"/>
      </rPr>
      <t>Bar size (mm)</t>
    </r>
  </si>
  <si>
    <t>Page totals (kg):</t>
  </si>
  <si>
    <t>TOTALS (kg):</t>
  </si>
  <si>
    <t>Weights in accordance with BS 4449 : 1997</t>
  </si>
  <si>
    <t>Exporting to SDI file</t>
  </si>
  <si>
    <t>USING THE SDI EXPORT FACILITY</t>
  </si>
  <si>
    <t>When exporting to these files, there are a few rules to follow in order to comply with the SteelPac Data Interchange format.</t>
  </si>
  <si>
    <t>BAR WEIGHT SCHEDULE</t>
  </si>
  <si>
    <t>The cross-sectional area of bars is based on the nominal bar size and is in accordance with Table 2, BS 4449:1997.</t>
  </si>
  <si>
    <t>The mass of steel bars is calculated on the basis of 0.00785 kg per millimetre per metre run. (cl. 5, BS 4449:1997)</t>
  </si>
  <si>
    <t>Using Bar Weight Schedule</t>
  </si>
  <si>
    <r>
      <t xml:space="preserve">The total weights for individual schedules is calculated automatically and is shown on the </t>
    </r>
    <r>
      <rPr>
        <b/>
        <sz val="10"/>
        <rFont val="Arial"/>
        <family val="2"/>
      </rPr>
      <t>Page totals</t>
    </r>
    <r>
      <rPr>
        <sz val="10"/>
        <rFont val="Arial"/>
        <family val="2"/>
      </rPr>
      <t xml:space="preserve"> row.</t>
    </r>
  </si>
  <si>
    <t>Printing Bar Weight Schedules</t>
  </si>
  <si>
    <t>The total weights for all the schedules will be calculated automatically when using either print button.</t>
  </si>
  <si>
    <t>Calculation of bar weights</t>
  </si>
  <si>
    <r>
      <t xml:space="preserve">To calculate or update the total weight for all the schedules in the spreadsheet, click on the </t>
    </r>
    <r>
      <rPr>
        <b/>
        <sz val="10"/>
        <rFont val="Arial"/>
        <family val="2"/>
      </rPr>
      <t>Totals</t>
    </r>
    <r>
      <rPr>
        <sz val="10"/>
        <rFont val="Arial"/>
        <family val="2"/>
      </rPr>
      <t xml:space="preserve"> button. These totals are shown in the </t>
    </r>
    <r>
      <rPr>
        <b/>
        <sz val="10"/>
        <rFont val="Arial"/>
        <family val="2"/>
      </rPr>
      <t>TOTALS</t>
    </r>
    <r>
      <rPr>
        <sz val="10"/>
        <rFont val="Arial"/>
        <family val="2"/>
      </rPr>
      <t xml:space="preserve"> row.</t>
    </r>
  </si>
  <si>
    <t>2) All schedules must have a drawing number and a unique schedule number.</t>
  </si>
  <si>
    <t>3) All schedules must have a job number.</t>
  </si>
  <si>
    <t>4) Bar marks must not be duplicated within a member.</t>
  </si>
  <si>
    <t>5) Each bar mark must have the member column completed.</t>
  </si>
  <si>
    <t>6) The member information for a bar mark must not overflow into the subsequent row.</t>
  </si>
  <si>
    <t>Completing the member column</t>
  </si>
  <si>
    <t>The export facility will automatically complete the entering of information into the member column!</t>
  </si>
  <si>
    <r>
      <t xml:space="preserve">Click on the </t>
    </r>
    <r>
      <rPr>
        <b/>
        <sz val="10"/>
        <rFont val="Arial"/>
        <family val="2"/>
      </rPr>
      <t>Print</t>
    </r>
    <r>
      <rPr>
        <sz val="10"/>
        <rFont val="Arial"/>
        <family val="2"/>
      </rPr>
      <t xml:space="preserve"> button (adjacent to the weight schedule) to print off an individual weight schedule.</t>
    </r>
  </si>
  <si>
    <r>
      <t xml:space="preserve">Click on the </t>
    </r>
    <r>
      <rPr>
        <b/>
        <sz val="10"/>
        <rFont val="Arial"/>
        <family val="2"/>
      </rPr>
      <t>Print All</t>
    </r>
    <r>
      <rPr>
        <sz val="10"/>
        <rFont val="Arial"/>
        <family val="2"/>
      </rPr>
      <t xml:space="preserve"> button (adjacent to the weight schedule) to print off all the weight schedules in a spreadsheet.</t>
    </r>
  </si>
  <si>
    <r>
      <t xml:space="preserve">Click on </t>
    </r>
    <r>
      <rPr>
        <b/>
        <sz val="10"/>
        <rFont val="Arial"/>
        <family val="2"/>
      </rPr>
      <t>Export</t>
    </r>
    <r>
      <rPr>
        <sz val="10"/>
        <rFont val="Arial"/>
        <family val="2"/>
      </rPr>
      <t xml:space="preserve"> to export your schedules to a SDI Steel[PAC] Data Interchange file. This is a text file which can be used for the electronic transfer of bar schedule information between engineers, contractors and fabricators. The SDI format file can be emailed to contractors and reinforcement fabricators who use the SteelPac reinforcement management software, eliminating the need to re-key bar information.
When exporting to an SDI file, the default file name is </t>
    </r>
    <r>
      <rPr>
        <b/>
        <sz val="10"/>
        <rFont val="Arial"/>
        <family val="2"/>
      </rPr>
      <t>bardata.SDI</t>
    </r>
    <r>
      <rPr>
        <sz val="10"/>
        <rFont val="Arial"/>
        <family val="2"/>
      </rPr>
      <t xml:space="preserve"> which can be changed.
Please note this facility will export all the schedules in a spreadsheet to the SDI file.
* see below for further information on using this facility.</t>
    </r>
  </si>
  <si>
    <t>Bar Schedule 8666 for Microsoft Excel is a spreadsheet for the scheduling of steel for the reinforcement of concrete. The spreadsheet has been developed to comply with BS 8666 : 2000.
The aim of the spreadsheet is to reduce the time taken to produce a bar schedule, reduce arithmetical errors, reduce scheduling errors, increase compliance with the BSI specified format for bar scheduling and facilitate electronic data interchange.</t>
  </si>
  <si>
    <t>Deleted
Bars</t>
  </si>
  <si>
    <r>
      <t xml:space="preserve">To autofill bar marks: Hold </t>
    </r>
    <r>
      <rPr>
        <b/>
        <sz val="10"/>
        <rFont val="Arial"/>
        <family val="2"/>
      </rPr>
      <t>Ctrl</t>
    </r>
    <r>
      <rPr>
        <sz val="10"/>
        <rFont val="Arial"/>
        <family val="2"/>
      </rPr>
      <t xml:space="preserve"> button down and press </t>
    </r>
    <r>
      <rPr>
        <b/>
        <sz val="10"/>
        <rFont val="Arial"/>
        <family val="2"/>
      </rPr>
      <t>B</t>
    </r>
    <r>
      <rPr>
        <sz val="10"/>
        <rFont val="Arial"/>
        <family val="2"/>
      </rPr>
      <t xml:space="preserve"> to fill the column with bar marks starting from 01. If a number is entered in the top cell, then Ctrl B will fill the column with bar marks increasing from that number.</t>
    </r>
  </si>
  <si>
    <t>1) Only one drawing number and one job number is allowed in a spreadsheet, i.e. all schedules must have the same drawing number and the same job number.</t>
  </si>
  <si>
    <t>Bars marked deleted included in .xls export/import.</t>
  </si>
  <si>
    <t>3.20</t>
  </si>
  <si>
    <t>Click your mouse on the page tabs at the bottom of the screen to view the bar schedules.</t>
  </si>
  <si>
    <r>
      <t xml:space="preserve">To print all the schedules, go to the </t>
    </r>
    <r>
      <rPr>
        <b/>
        <sz val="10"/>
        <color indexed="18"/>
        <rFont val="Arial"/>
        <family val="2"/>
      </rPr>
      <t>File</t>
    </r>
    <r>
      <rPr>
        <sz val="10"/>
        <color indexed="18"/>
        <rFont val="Arial"/>
        <family val="2"/>
      </rPr>
      <t xml:space="preserve"> menu  and click on </t>
    </r>
    <r>
      <rPr>
        <b/>
        <sz val="10"/>
        <color indexed="18"/>
        <rFont val="Arial"/>
        <family val="2"/>
      </rPr>
      <t>Print</t>
    </r>
    <r>
      <rPr>
        <sz val="10"/>
        <color indexed="18"/>
        <rFont val="Arial"/>
        <family val="2"/>
      </rPr>
      <t>. Then click on Entire</t>
    </r>
  </si>
  <si>
    <t>workbook and finally, click OK.</t>
  </si>
  <si>
    <t>This workbook can be attached to an email and sent direct to relevant parties such as a</t>
  </si>
  <si>
    <r>
      <t xml:space="preserve">contractor or reinforcement supplier. Go to </t>
    </r>
    <r>
      <rPr>
        <b/>
        <sz val="10"/>
        <color indexed="18"/>
        <rFont val="Arial"/>
        <family val="2"/>
      </rPr>
      <t>File</t>
    </r>
    <r>
      <rPr>
        <sz val="10"/>
        <color indexed="18"/>
        <rFont val="Arial"/>
        <family val="2"/>
      </rPr>
      <t xml:space="preserve"> menu, click on </t>
    </r>
    <r>
      <rPr>
        <b/>
        <sz val="10"/>
        <color indexed="18"/>
        <rFont val="Arial"/>
        <family val="2"/>
      </rPr>
      <t>Send To</t>
    </r>
    <r>
      <rPr>
        <sz val="10"/>
        <color indexed="18"/>
        <rFont val="Arial"/>
        <family val="2"/>
      </rPr>
      <t xml:space="preserve"> and then click on</t>
    </r>
  </si>
  <si>
    <t>Mail Recipient.</t>
  </si>
  <si>
    <t>The validity and accuracy of the data contained within this workbook is entirely the responsibility of the</t>
  </si>
  <si>
    <t>company/person producing the workbook.</t>
  </si>
  <si>
    <t>The company/person producing this workbook assumes the entire risk as to the accuracy of the software</t>
  </si>
  <si>
    <t>used.</t>
  </si>
  <si>
    <t>Bar Size</t>
  </si>
  <si>
    <t>Type and grade R</t>
  </si>
  <si>
    <t>Type and grade T, B and S</t>
  </si>
  <si>
    <r>
      <t xml:space="preserve">overall dim.
</t>
    </r>
    <r>
      <rPr>
        <b/>
        <sz val="10"/>
        <rFont val="Arial"/>
        <family val="2"/>
      </rPr>
      <t>x</t>
    </r>
  </si>
  <si>
    <t>two bends</t>
  </si>
  <si>
    <t>Minimum Dimensions to BS 4466 : 1989 (mm)</t>
  </si>
  <si>
    <t>Dimensions rounded up to nearest 5mm</t>
  </si>
  <si>
    <t>Minimum Radius For Scheduling</t>
  </si>
  <si>
    <t>Deductions For Permissible Deviations</t>
  </si>
  <si>
    <t>Nominal size of bar, d (mm)</t>
  </si>
  <si>
    <t>Type of bar</t>
  </si>
  <si>
    <t>Distance between concrete faces</t>
  </si>
  <si>
    <t>Total deduction mm</t>
  </si>
  <si>
    <t>2d</t>
  </si>
  <si>
    <t>Links and other bent bars</t>
  </si>
  <si>
    <t>0 to 1m incl.</t>
  </si>
  <si>
    <t>above 1m to 2m incl.</t>
  </si>
  <si>
    <t>over 2m</t>
  </si>
  <si>
    <t>Straight bars</t>
  </si>
  <si>
    <t>any length</t>
  </si>
  <si>
    <t>6 to 20 incl.</t>
  </si>
  <si>
    <t>3d</t>
  </si>
  <si>
    <t>4d</t>
  </si>
  <si>
    <t>25 to 50 incl.</t>
  </si>
  <si>
    <t>Type and grade R and S</t>
  </si>
  <si>
    <t>Type and grade T and S</t>
  </si>
  <si>
    <t>cl 7.10</t>
  </si>
  <si>
    <t>The schedule only caters for bar type and grade R and T.</t>
  </si>
  <si>
    <t>Shape code 99 - a dimensioned sketch of the bar should be drawn by hand over the dimension columns 'A' to 'E'.   *see below</t>
  </si>
  <si>
    <t>cl 7.5</t>
  </si>
  <si>
    <t>tables 1 and 2, note 4</t>
  </si>
  <si>
    <t>table 2</t>
  </si>
  <si>
    <t>tables 1 and 2</t>
  </si>
  <si>
    <t>figure 2</t>
  </si>
  <si>
    <r>
      <t xml:space="preserve">There are a number of ways to deal with shape code 99. In each method, complete your bar mark row and enter the total bar length into the dimension 'A' column.
</t>
    </r>
    <r>
      <rPr>
        <u/>
        <sz val="10"/>
        <rFont val="Arial"/>
        <family val="2"/>
      </rPr>
      <t>Method 1</t>
    </r>
    <r>
      <rPr>
        <sz val="10"/>
        <rFont val="Arial"/>
        <family val="2"/>
      </rPr>
      <t xml:space="preserve">
Go to the </t>
    </r>
    <r>
      <rPr>
        <b/>
        <sz val="10"/>
        <rFont val="Arial"/>
        <family val="2"/>
      </rPr>
      <t>File</t>
    </r>
    <r>
      <rPr>
        <sz val="10"/>
        <rFont val="Arial"/>
        <family val="2"/>
      </rPr>
      <t xml:space="preserve"> menu, click on </t>
    </r>
    <r>
      <rPr>
        <b/>
        <sz val="10"/>
        <rFont val="Arial"/>
        <family val="2"/>
      </rPr>
      <t>New</t>
    </r>
    <r>
      <rPr>
        <sz val="10"/>
        <rFont val="Arial"/>
        <family val="2"/>
      </rPr>
      <t xml:space="preserve"> and open Shape99.xlt. With Shape 99 you can produce a continuation sheet with a dimensioned sketch of your bar shape.
</t>
    </r>
    <r>
      <rPr>
        <u/>
        <sz val="10"/>
        <rFont val="Arial"/>
        <family val="2"/>
      </rPr>
      <t xml:space="preserve">Method 2
</t>
    </r>
    <r>
      <rPr>
        <sz val="10"/>
        <rFont val="Arial"/>
        <family val="2"/>
      </rPr>
      <t>Leave a couple of blank rows below your bar mark 99 and insert a sketch (picture file) prepared in a CAD program such as AutoCad. See the paragraph below on how to insert picture files. Picure files can be in many formats but .wmf, .jpg, .gif, .bmp and .dxf are the most common.</t>
    </r>
    <r>
      <rPr>
        <u/>
        <sz val="10"/>
        <rFont val="Arial"/>
        <family val="2"/>
      </rPr>
      <t xml:space="preserve">
Method 3</t>
    </r>
    <r>
      <rPr>
        <sz val="10"/>
        <rFont val="Arial"/>
        <family val="2"/>
      </rPr>
      <t xml:space="preserve">
Leave a couple of blank rows below your bar mark 99. Print off your schedule and draw a dimensioned sketch of the bar by hand over the dimensions 'A' to 'E' columns.</t>
    </r>
  </si>
  <si>
    <t>Shape Code 99</t>
  </si>
  <si>
    <t>Inserting sketches and text boxes</t>
  </si>
  <si>
    <r>
      <t xml:space="preserve">The procedure for inserting shape code 99 sketches and text boxes is similar. Text boxes are useful for calling up random length steel, i.e. </t>
    </r>
    <r>
      <rPr>
        <i/>
        <sz val="10"/>
        <rFont val="Arial"/>
        <family val="2"/>
      </rPr>
      <t>500m of T12 bars supplied in random, straight lengths</t>
    </r>
    <r>
      <rPr>
        <sz val="10"/>
        <rFont val="Arial"/>
        <family val="2"/>
      </rPr>
      <t xml:space="preserve">.
Prepare your bar schedule leaving some blank row(s) for your sketch or text box.
Using the </t>
    </r>
    <r>
      <rPr>
        <b/>
        <sz val="10"/>
        <rFont val="Arial"/>
        <family val="2"/>
      </rPr>
      <t>SAVE</t>
    </r>
    <r>
      <rPr>
        <sz val="10"/>
        <rFont val="Arial"/>
        <family val="2"/>
      </rPr>
      <t xml:space="preserve"> button on the spreadsheet, save your schedule(s) to a bardata spreadsheet file.
Open the bardata spreadsheet and remove the sheet protection by clicking on </t>
    </r>
    <r>
      <rPr>
        <b/>
        <sz val="10"/>
        <rFont val="Arial"/>
        <family val="2"/>
      </rPr>
      <t>Tools&gt;Protection&gt;Unprotect Sheet.</t>
    </r>
    <r>
      <rPr>
        <sz val="10"/>
        <rFont val="Arial"/>
        <family val="2"/>
      </rPr>
      <t xml:space="preserve">
For inserting a sketch (picture file), click on </t>
    </r>
    <r>
      <rPr>
        <b/>
        <sz val="10"/>
        <rFont val="Arial"/>
        <family val="2"/>
      </rPr>
      <t xml:space="preserve">Insert&gt;Picture&gt;From File.
</t>
    </r>
    <r>
      <rPr>
        <sz val="10"/>
        <rFont val="Arial"/>
        <family val="2"/>
      </rPr>
      <t xml:space="preserve">For inserting a text box, click on the </t>
    </r>
    <r>
      <rPr>
        <b/>
        <sz val="10"/>
        <rFont val="Arial"/>
        <family val="2"/>
      </rPr>
      <t>Drawing</t>
    </r>
    <r>
      <rPr>
        <sz val="10"/>
        <rFont val="Arial"/>
        <family val="2"/>
      </rPr>
      <t xml:space="preserve"> icon on your toolbar. The Drawing toolbar will now appear at the bottom of the screen on which you should click the </t>
    </r>
    <r>
      <rPr>
        <b/>
        <sz val="10"/>
        <rFont val="Arial"/>
        <family val="2"/>
      </rPr>
      <t>Text Box</t>
    </r>
    <r>
      <rPr>
        <sz val="10"/>
        <rFont val="Arial"/>
        <family val="2"/>
      </rPr>
      <t xml:space="preserve"> icon. Use this to draw a text box.</t>
    </r>
  </si>
  <si>
    <t>Delivery will be by attachment to an email.</t>
  </si>
  <si>
    <t>As long as member information is entered for one bar mark, the export facility will automatically copy that information to all subsequent bar marks until new member information is encountered. The new member information will then be copied to subsequent bar marks. Empty rows will be ignored. 
For the automatic generation of member information to work at least one member must be completed, either on the very first bar mark or an empty row prior to the very first bar mark. If this is not complied with the export facility will abort.
The automatically generated member information will be displayed in white which will not print out on schedules.</t>
  </si>
  <si>
    <t>Reset button</t>
  </si>
  <si>
    <t>The reset button will remove all automatically generated member data from the schedules leaving the manually completed member information intact.</t>
  </si>
  <si>
    <t>Deleting bar marks</t>
  </si>
  <si>
    <t>7) Bar marks marked deleted may not be re-used within a member.</t>
  </si>
  <si>
    <r>
      <t xml:space="preserve">To mark a bar deleted, click on the row of the bar to be deleted then click the </t>
    </r>
    <r>
      <rPr>
        <b/>
        <sz val="10"/>
        <rFont val="Arial"/>
        <family val="2"/>
      </rPr>
      <t>Mark</t>
    </r>
    <r>
      <rPr>
        <sz val="10"/>
        <rFont val="Arial"/>
        <family val="2"/>
      </rPr>
      <t xml:space="preserve"> button.</t>
    </r>
  </si>
  <si>
    <r>
      <t xml:space="preserve">The </t>
    </r>
    <r>
      <rPr>
        <b/>
        <sz val="10"/>
        <rFont val="Arial"/>
        <family val="2"/>
      </rPr>
      <t xml:space="preserve">Mark </t>
    </r>
    <r>
      <rPr>
        <sz val="10"/>
        <rFont val="Arial"/>
        <family val="2"/>
      </rPr>
      <t>button provides the facility to mark a bar mark deleted but retain it within the schedule as a revision. Deleted bar marks are indicated by a line through the bar data.</t>
    </r>
  </si>
  <si>
    <r>
      <t xml:space="preserve">To return a bar marked deleted back to normal, click on the row of the deleted bar then click the </t>
    </r>
    <r>
      <rPr>
        <b/>
        <sz val="10"/>
        <rFont val="Arial"/>
        <family val="2"/>
      </rPr>
      <t>Mark</t>
    </r>
    <r>
      <rPr>
        <sz val="10"/>
        <rFont val="Arial"/>
        <family val="2"/>
      </rPr>
      <t xml:space="preserve"> button.</t>
    </r>
  </si>
  <si>
    <t>Date prepared :</t>
  </si>
  <si>
    <t>Prepared by :</t>
  </si>
  <si>
    <t>Member</t>
  </si>
  <si>
    <t>Total no.</t>
  </si>
  <si>
    <t>mm</t>
  </si>
  <si>
    <t>Length of each bar †
mm</t>
  </si>
  <si>
    <t>Shape code</t>
  </si>
  <si>
    <t>A *</t>
  </si>
  <si>
    <t>B *</t>
  </si>
  <si>
    <t>C *</t>
  </si>
  <si>
    <t>D *</t>
  </si>
  <si>
    <t>Type and
size</t>
  </si>
  <si>
    <t>No. of bars
in
each</t>
  </si>
  <si>
    <t>d</t>
  </si>
  <si>
    <t>r</t>
  </si>
  <si>
    <t>n</t>
  </si>
  <si>
    <t>h</t>
  </si>
  <si>
    <t>E/R *</t>
  </si>
  <si>
    <t>SHAPE CODES</t>
  </si>
  <si>
    <t>A</t>
  </si>
  <si>
    <t>AB</t>
  </si>
  <si>
    <t>ABC</t>
  </si>
  <si>
    <t>ABCD</t>
  </si>
  <si>
    <t>ABCDE</t>
  </si>
  <si>
    <t>AR</t>
  </si>
  <si>
    <t>ABR</t>
  </si>
  <si>
    <t>bargroup1</t>
  </si>
  <si>
    <t>bargroup2</t>
  </si>
  <si>
    <t>bargroup3</t>
  </si>
  <si>
    <t>bargroup4</t>
  </si>
  <si>
    <t>bargroup5</t>
  </si>
  <si>
    <t>bargroup6</t>
  </si>
  <si>
    <t>bargroup7</t>
  </si>
  <si>
    <t>B</t>
  </si>
  <si>
    <t>C</t>
  </si>
  <si>
    <t>D</t>
  </si>
  <si>
    <t>E</t>
  </si>
  <si>
    <t>No.
of mbrs</t>
  </si>
  <si>
    <t>Bar schedule ref :</t>
  </si>
  <si>
    <t>Site ref :</t>
  </si>
  <si>
    <t>Job no :</t>
  </si>
  <si>
    <t>Bar mark</t>
  </si>
  <si>
    <t>Checked by :</t>
  </si>
  <si>
    <t>This schedule complies with BS 4466.</t>
  </si>
  <si>
    <t>* Specified in multiples of 5mm.</t>
  </si>
  <si>
    <t>† Specified in multiples of 25mm.</t>
  </si>
  <si>
    <t>Microsoft Excel</t>
  </si>
  <si>
    <t>This spreadsheet has been developed to comply with BS 4466 : 1989 and Amendment No. 1 published 28 February 1990.</t>
  </si>
  <si>
    <t>Support</t>
  </si>
  <si>
    <t>Scheduling</t>
  </si>
  <si>
    <t>Macro Virus Warning</t>
  </si>
  <si>
    <t>Summing Values</t>
  </si>
  <si>
    <t>British Standard Specification (BSI)</t>
  </si>
  <si>
    <t>Entering Numerical Data</t>
  </si>
  <si>
    <t>Grade R, S, X</t>
  </si>
  <si>
    <t>Grade T, S, X</t>
  </si>
  <si>
    <t>S, X =</t>
  </si>
  <si>
    <t>Type R values</t>
  </si>
  <si>
    <t>Type T values</t>
  </si>
  <si>
    <t>BS 4466 Table 3
values used</t>
  </si>
  <si>
    <t>Site Ref</t>
  </si>
  <si>
    <t>Job No</t>
  </si>
  <si>
    <t>Prepared by</t>
  </si>
  <si>
    <t>Example Job 2</t>
  </si>
  <si>
    <t>DEF</t>
  </si>
  <si>
    <t>Example Job 3</t>
  </si>
  <si>
    <t>GHJ</t>
  </si>
  <si>
    <t>Example Job 1</t>
  </si>
  <si>
    <r>
      <t>This spreadsheet has been optimised for a screen resolution of 1024x768 HiColor (16 bit) using large fonts. Right click on the main Windows desktop, click on P</t>
    </r>
    <r>
      <rPr>
        <u/>
        <sz val="10"/>
        <rFont val="Arial"/>
        <family val="2"/>
      </rPr>
      <t>r</t>
    </r>
    <r>
      <rPr>
        <sz val="10"/>
        <rFont val="Arial"/>
        <family val="2"/>
      </rPr>
      <t>operties and go to Settings to adjust.</t>
    </r>
  </si>
  <si>
    <t>z</t>
  </si>
  <si>
    <t>x</t>
  </si>
  <si>
    <t>R</t>
  </si>
  <si>
    <t>Freeze Column Headings</t>
  </si>
  <si>
    <t xml:space="preserve">THIS SOFTWARE IS PROVIDED FOR EVALUATION ONLY, ON AN "AS IS" BASIS. THE AUTHOR DISCLAIMS ALL WARRANTIES RELATING TO THIS SOFTWARE, WHETHER EXPRESSED  OR IMPLIED, INCLUDING BUT NOT LIMITED TO ANY IMPLIED WARRANTIES OF MERCHANTABILITY OR FITNESS FOR A PARTICULAR PURPOSE. THE AUTHOR* SHALL NOT BE LIABLE FOR ANY INDIRECT, CONSEQUENTIAL, OR INCIDENTAL DAMAGES ARISING OUT OF THE USE OR INABILITY TO USE SUCH SOFTWARE, EVEN IF THE AUTHOR HAS BEEN ADVISED OF THE POSSIBILITY OF SUCH DAMAGES OR CLAIMS.  THE PERSON USING THE SOFTWARE BEARS ALL RISK AS TO THE QUALITY AND PERFORMANCE OF THE SOFTWARE. ALTHOUGH EVERY EFFORT HAS BEEN MADE TO ENSURE THE ACCURACY OF THIS PROGRAM, USERS SHOULD VERIFY THE RESULTS FOR THEMSELVES.
</t>
  </si>
  <si>
    <t>License for Use and Distribution</t>
  </si>
  <si>
    <t>Disclaimer</t>
  </si>
  <si>
    <t>Registration</t>
  </si>
  <si>
    <t xml:space="preserve"> FOR EXCEL 97</t>
  </si>
  <si>
    <t>Version</t>
  </si>
  <si>
    <t>BAR SCHEDULE</t>
  </si>
  <si>
    <t>Copyright</t>
  </si>
  <si>
    <t>Clauses 7.10 and 8 (a)</t>
  </si>
  <si>
    <t>KEY</t>
  </si>
  <si>
    <t>Minimum end lengths</t>
  </si>
  <si>
    <t>Minimum length between bends</t>
  </si>
  <si>
    <t>Minimum radius</t>
  </si>
  <si>
    <t>Shape codes 61 &amp; 79</t>
  </si>
  <si>
    <t>Min offset dim of crank</t>
  </si>
  <si>
    <t>Acknowledgements</t>
  </si>
  <si>
    <t>AutoFill bar marks</t>
  </si>
  <si>
    <t>min ends</t>
  </si>
  <si>
    <t>min link dim</t>
  </si>
  <si>
    <t>min crank</t>
  </si>
  <si>
    <t>min radius</t>
  </si>
  <si>
    <t>multiple of 5mm</t>
  </si>
  <si>
    <t>between bends</t>
  </si>
  <si>
    <t>Remember!</t>
  </si>
  <si>
    <t>Where a bar mark is revised, a reference letter may be entered into the column to the right of dimension "E/R".</t>
  </si>
  <si>
    <t>3.21</t>
  </si>
  <si>
    <t>Administrative changes.</t>
  </si>
  <si>
    <t>Bar Schedule v3.21 for Excel 97</t>
  </si>
  <si>
    <r>
      <t>©</t>
    </r>
    <r>
      <rPr>
        <sz val="6"/>
        <rFont val="Arial"/>
        <family val="2"/>
      </rPr>
      <t xml:space="preserve"> 1999-2002 Chris Buczkowski</t>
    </r>
  </si>
  <si>
    <r>
      <t xml:space="preserve">Bar Schedule for Excel 97   </t>
    </r>
    <r>
      <rPr>
        <sz val="10"/>
        <rFont val="Arial"/>
        <family val="2"/>
      </rPr>
      <t>©</t>
    </r>
    <r>
      <rPr>
        <sz val="8"/>
        <rFont val="Arial"/>
        <family val="2"/>
      </rPr>
      <t xml:space="preserve"> 1999-2002 Chris Buczkowski</t>
    </r>
  </si>
  <si>
    <t>Semi-circular</t>
  </si>
  <si>
    <t>Clearing Cell Contents</t>
  </si>
  <si>
    <t>shape code 99</t>
  </si>
  <si>
    <t>semi-circular</t>
  </si>
  <si>
    <t>The total length of a bar will be displayed in red if it exceeds 12m. The entire cell will colour red if the total bar length exceeds 18m.</t>
  </si>
  <si>
    <t>UNREGISTERED COPY FOR EVALUATION</t>
  </si>
  <si>
    <t>Fonts</t>
  </si>
  <si>
    <t>(1) Copy the Tekton~n.ttf file into your \Windows\Fonts directory.</t>
  </si>
  <si>
    <t>(2) Run the ARIALB32.EXE file to install.</t>
  </si>
  <si>
    <t>max crank</t>
  </si>
  <si>
    <t>shape code 87</t>
  </si>
  <si>
    <r>
      <t>To clear the contents of a cell, right click your mouse on the cell and then click Clear Co</t>
    </r>
    <r>
      <rPr>
        <u/>
        <sz val="10"/>
        <rFont val="Arial"/>
        <family val="2"/>
      </rPr>
      <t>n</t>
    </r>
    <r>
      <rPr>
        <sz val="10"/>
        <rFont val="Arial"/>
        <family val="2"/>
      </rPr>
      <t>tents.</t>
    </r>
  </si>
  <si>
    <t>PLEASE WAIT WHILE THE GRAPHIC LOADS….</t>
  </si>
  <si>
    <t>Additional Information</t>
  </si>
  <si>
    <t>Refer to the accompanying README.TXT file for additional information.</t>
  </si>
  <si>
    <t>¤ THIS IS AN UNREGISTERED COPY ¤</t>
  </si>
  <si>
    <t>Screen Resolution</t>
  </si>
  <si>
    <r>
      <t>Note</t>
    </r>
    <r>
      <rPr>
        <sz val="8"/>
        <rFont val="Arial"/>
        <family val="2"/>
      </rPr>
      <t xml:space="preserve">  Refer to the About sheet for further information on fonts.</t>
    </r>
  </si>
  <si>
    <t>Thank you to the Reinforced Concrete Council for their encouragement, comments and assistance in distributing this software.</t>
  </si>
  <si>
    <t>The RCC is part of the British Cement Association, for further information email:  rcc@bca.org.uk</t>
  </si>
  <si>
    <t>(3) If you are using 256 colour, change to Hicolor (16 bit).</t>
  </si>
  <si>
    <t>Bar diameters 6mm and 50mm are non-preferred and will be displayed in red.</t>
  </si>
  <si>
    <t>SETUP</t>
  </si>
  <si>
    <t>USING BAR SCHEDULE</t>
  </si>
  <si>
    <t>SHORT CUTS</t>
  </si>
  <si>
    <t>©</t>
  </si>
  <si>
    <t>GETTING STARTED</t>
  </si>
  <si>
    <t>Customisation</t>
  </si>
  <si>
    <t>Shape Codes</t>
  </si>
  <si>
    <t>Version 3.21</t>
  </si>
  <si>
    <t>1999-2002 Chris Buczkowski. All rights reserved.</t>
  </si>
  <si>
    <t>£35 per copy installed.</t>
  </si>
  <si>
    <t>The drop-down list box displays in the order of preferred shapes first and then other shapes.</t>
  </si>
  <si>
    <t>i.e.  Preferred: 20, 32, 33, 34, 35, 37, 38, 41, 43, 51, 61, 62 &amp; 82.  Other: 39, 42, 45, 49, 52, 53, 54, 55, 65, 77, 78, 79, 85, 87 &amp; 99.</t>
  </si>
  <si>
    <t>PROJECT DATABASE</t>
  </si>
  <si>
    <t>Courtesy of Raner Reinforcements Limited</t>
  </si>
  <si>
    <t>HELP PAGE</t>
  </si>
  <si>
    <t>DIMENSION CHECKS</t>
  </si>
  <si>
    <t>Less than 100mm</t>
  </si>
  <si>
    <t>Less than 150mm</t>
  </si>
  <si>
    <t>Less than z</t>
  </si>
  <si>
    <t>Less than 2r+6d</t>
  </si>
  <si>
    <t>Less than 2d</t>
  </si>
  <si>
    <t>Multiples of 5mm</t>
  </si>
  <si>
    <t>Less than 2r+2d</t>
  </si>
  <si>
    <t>B more than A/5</t>
  </si>
  <si>
    <t>Exceeds 45 deg</t>
  </si>
  <si>
    <t>Neither A nor B to be less than 150mm.</t>
  </si>
  <si>
    <t>Neither A nor B to be less than 100mm.</t>
  </si>
  <si>
    <t>Dimensions to be specified in multiples of 5mm.</t>
  </si>
  <si>
    <t>The overall off-set dimension of a crank not to be less than twice the size of the bar.</t>
  </si>
  <si>
    <t>The length formula is approximate and when bending angles exceed 45° the length should be calculated more accurately allowing for the difference between the specified overall dimensions and the true length measured along the central axis of the bar.</t>
  </si>
  <si>
    <t>Dimension cannot be less than the minimum length of a bend (z) as derived from table 3 and clause 8, BS4466.</t>
  </si>
  <si>
    <t>Overall dimension of a semi-circular bend cannot be less than twice the 'minimum radius plus bar size'.</t>
  </si>
  <si>
    <t>Dimension must include a minimum straight of 4d between bends.</t>
  </si>
  <si>
    <t>cl 7.9</t>
  </si>
  <si>
    <t>cl 6.6</t>
  </si>
  <si>
    <t>If you have comments, suggestions, bug reports or require information, please email:</t>
  </si>
  <si>
    <t>BAR LENGTHS</t>
  </si>
  <si>
    <t>Dimensions required by each shape code</t>
  </si>
  <si>
    <t>Neither the Tekton~n nor the Arial Black font files are included in the licence agreement for sale. Tekton~n is freely available with the Reinforced Concrete Council's Spreadsheets for Concrete Design pack. Arial and Arial Black are provided free by Microsoft Corporation. They may be downloaded from: http://www.microsoft.com/typography/fontpack/
Microsoft also provide Tahoma which can be downloaded from: http://support.microsoft.com/support/kb/articles/Q175/0/15.asp</t>
  </si>
  <si>
    <t>R cannot be less than the minimum radius value given in table 3, BS 4466.</t>
  </si>
  <si>
    <t>Where B is greater than A/5 the length formula does not apply (use shape code 99).</t>
  </si>
  <si>
    <t>The font files are also available from this web site.</t>
  </si>
  <si>
    <t>KEY INFORMATION</t>
  </si>
  <si>
    <t>To sum a row or column of values, click in the first cell and drag the mouse holding the left button. The result appears in the status bar at the bottom of the screen. To sum non aligned values, click in the first cell, then holding Ctrl button down, click in the second and subsequent cells. If the status bar is not displayed, go to View menu and click on Status Bar. If the bar is switched on and the sum is not displayed, right click on the status bar and then click on Sum.</t>
  </si>
  <si>
    <t>Expressions may be entered in place of numbers in cells requiring numerical input.  e.g. To enter an expression into 'No. of bars'.
Click on the relevant cell. Enter the following:   =4+8*3    - This expression evaluates to 28. You will see the expression if you double click on the cell or if you have the formula bar showing (go to View menu and click Formula Bar).</t>
  </si>
  <si>
    <t>Although this spreadsheet has been optimised and thoroughly tested on a resolution of 1024x768 using large fonts, it has also been tested using other combinations of 1024x768, 800x600, large fonts and small fonts. If you wish to use a combination other than the 1024x768 with large fonts, you may want to adjust Excel's display.
To adjust the display, click on one of the buttons to the right.
Then save your settings by clicking on the SAVE button to the right.</t>
  </si>
  <si>
    <t>Multiple Schedules</t>
  </si>
  <si>
    <t>When you have completed a schedule, scroll the sheet to the bottom and click on the New Sheet button to start a new sheet.</t>
  </si>
  <si>
    <t>Bend Dimensions</t>
  </si>
  <si>
    <t>sc 99
sketch</t>
  </si>
  <si>
    <t>Sketch Required</t>
  </si>
  <si>
    <t>Bar dimension messages</t>
  </si>
  <si>
    <t>The type and grade of reinforcement supported are R, T, S and X as indicated in clause 3, BS 4466. Types W and D are not supported. For bar types S &amp; X, use the list box labelled 'S or X bars ?'. Choose either type R or type T values from BS 4466 Table 3. Different type values for S or X bars cannot be mixed on the same sheet. This list box does not affect bar types R and T.</t>
  </si>
  <si>
    <r>
      <t xml:space="preserve">Go to </t>
    </r>
    <r>
      <rPr>
        <u/>
        <sz val="10"/>
        <rFont val="Arial"/>
        <family val="2"/>
      </rPr>
      <t>T</t>
    </r>
    <r>
      <rPr>
        <sz val="10"/>
        <rFont val="Arial"/>
        <family val="2"/>
      </rPr>
      <t xml:space="preserve">ools &gt; </t>
    </r>
    <r>
      <rPr>
        <u/>
        <sz val="10"/>
        <rFont val="Arial"/>
        <family val="2"/>
      </rPr>
      <t>O</t>
    </r>
    <r>
      <rPr>
        <sz val="10"/>
        <rFont val="Arial"/>
        <family val="2"/>
      </rPr>
      <t>ptions &gt; Edit</t>
    </r>
  </si>
  <si>
    <r>
      <t xml:space="preserve">Go to </t>
    </r>
    <r>
      <rPr>
        <u/>
        <sz val="10"/>
        <rFont val="Arial"/>
        <family val="2"/>
      </rPr>
      <t>T</t>
    </r>
    <r>
      <rPr>
        <sz val="10"/>
        <rFont val="Arial"/>
        <family val="2"/>
      </rPr>
      <t xml:space="preserve">ools &gt; </t>
    </r>
    <r>
      <rPr>
        <u/>
        <sz val="10"/>
        <rFont val="Arial"/>
        <family val="2"/>
      </rPr>
      <t>O</t>
    </r>
    <r>
      <rPr>
        <sz val="10"/>
        <rFont val="Arial"/>
        <family val="2"/>
      </rPr>
      <t>ptions &gt; View</t>
    </r>
  </si>
  <si>
    <r>
      <t>'</t>
    </r>
    <r>
      <rPr>
        <u/>
        <sz val="10"/>
        <rFont val="Arial"/>
        <family val="2"/>
      </rPr>
      <t>M</t>
    </r>
    <r>
      <rPr>
        <sz val="10"/>
        <rFont val="Arial"/>
        <family val="2"/>
      </rPr>
      <t xml:space="preserve">ove selection after Enter' moves </t>
    </r>
    <r>
      <rPr>
        <i/>
        <sz val="10"/>
        <rFont val="Arial"/>
        <family val="2"/>
      </rPr>
      <t>Right</t>
    </r>
    <r>
      <rPr>
        <sz val="10"/>
        <rFont val="Arial"/>
        <family val="2"/>
      </rPr>
      <t xml:space="preserve">. </t>
    </r>
  </si>
  <si>
    <r>
      <t>Z</t>
    </r>
    <r>
      <rPr>
        <sz val="10"/>
        <rFont val="Arial"/>
        <family val="2"/>
      </rPr>
      <t>ero values are enabled.</t>
    </r>
  </si>
  <si>
    <r>
      <t>Sheet ta</t>
    </r>
    <r>
      <rPr>
        <u/>
        <sz val="10"/>
        <rFont val="Arial"/>
        <family val="2"/>
      </rPr>
      <t>b</t>
    </r>
    <r>
      <rPr>
        <sz val="10"/>
        <rFont val="Arial"/>
        <family val="2"/>
      </rPr>
      <t>s are enabled.</t>
    </r>
  </si>
  <si>
    <r>
      <t>Enable Auto</t>
    </r>
    <r>
      <rPr>
        <u/>
        <sz val="10"/>
        <rFont val="Arial"/>
        <family val="2"/>
      </rPr>
      <t>C</t>
    </r>
    <r>
      <rPr>
        <sz val="10"/>
        <rFont val="Arial"/>
        <family val="2"/>
      </rPr>
      <t>omplete for cell values should be disabled.</t>
    </r>
  </si>
  <si>
    <t>The optimum default settings for the spreadsheet are as follows:</t>
  </si>
  <si>
    <r>
      <t xml:space="preserve">This spreadsheet contains macros which are a normal part of Excel programming. Although the spreadsheet will function correctly with macros disabled, there will be some loss of functionality. If the user is satisfied the sheet does not contain viruses, macros should be enabled. Go to </t>
    </r>
    <r>
      <rPr>
        <u/>
        <sz val="10"/>
        <rFont val="Arial"/>
        <family val="2"/>
      </rPr>
      <t>T</t>
    </r>
    <r>
      <rPr>
        <sz val="10"/>
        <rFont val="Arial"/>
        <family val="2"/>
      </rPr>
      <t xml:space="preserve">ools &gt; </t>
    </r>
    <r>
      <rPr>
        <u/>
        <sz val="10"/>
        <rFont val="Arial"/>
        <family val="2"/>
      </rPr>
      <t>O</t>
    </r>
    <r>
      <rPr>
        <sz val="10"/>
        <rFont val="Arial"/>
        <family val="2"/>
      </rPr>
      <t>ptions &gt; General</t>
    </r>
  </si>
  <si>
    <t>Default Settings</t>
  </si>
  <si>
    <t>This spreadsheet has been formatted using Arial, Arial Black, Tahoma and Tekton~n TrueType fonts. Check if you have these fonts installed by going to the Font drop-down list box on the toolbar. The font file Tekton~n.ttf should be copied to your \Windows\Fonts folder. Execute the ARIALB32.EXE file to install the Arial Black font.</t>
  </si>
  <si>
    <r>
      <t xml:space="preserve">Place the </t>
    </r>
    <r>
      <rPr>
        <b/>
        <sz val="10"/>
        <rFont val="Arial"/>
        <family val="2"/>
      </rPr>
      <t>Barsched.xlt</t>
    </r>
    <r>
      <rPr>
        <sz val="10"/>
        <rFont val="Arial"/>
        <family val="2"/>
      </rPr>
      <t xml:space="preserve"> and the </t>
    </r>
    <r>
      <rPr>
        <b/>
        <sz val="10"/>
        <rFont val="Arial"/>
        <family val="2"/>
      </rPr>
      <t>Shape99.xlt</t>
    </r>
    <r>
      <rPr>
        <sz val="10"/>
        <rFont val="Arial"/>
        <family val="2"/>
      </rPr>
      <t xml:space="preserve"> files in the </t>
    </r>
    <r>
      <rPr>
        <b/>
        <sz val="10"/>
        <rFont val="Arial"/>
        <family val="2"/>
      </rPr>
      <t>Templates</t>
    </r>
    <r>
      <rPr>
        <sz val="10"/>
        <rFont val="Arial"/>
        <family val="2"/>
      </rPr>
      <t xml:space="preserve"> folder in the folder in which you installed Microsoft Office or Microsoft Excel. These files must not be renamed.</t>
    </r>
  </si>
  <si>
    <r>
      <t xml:space="preserve">Make your alterations (e.g. Company name or Zoom settings) and then click on the </t>
    </r>
    <r>
      <rPr>
        <b/>
        <sz val="10"/>
        <rFont val="Arial"/>
        <family val="2"/>
      </rPr>
      <t>SAVE</t>
    </r>
    <r>
      <rPr>
        <sz val="10"/>
        <rFont val="Arial"/>
        <family val="2"/>
      </rPr>
      <t xml:space="preserve"> button in the Adjust Display box above.
This procedure will overwrite your master copy (template) with your customised details.
</t>
    </r>
    <r>
      <rPr>
        <b/>
        <sz val="10"/>
        <color indexed="10"/>
        <rFont val="Arial"/>
        <family val="2"/>
      </rPr>
      <t>Warning</t>
    </r>
    <r>
      <rPr>
        <sz val="10"/>
        <color indexed="10"/>
        <rFont val="Arial"/>
        <family val="2"/>
      </rPr>
      <t xml:space="preserve">
</t>
    </r>
    <r>
      <rPr>
        <sz val="10"/>
        <rFont val="Arial"/>
        <family val="2"/>
      </rPr>
      <t>Any alterations you make will be saved back to the master copy, so it is best to start with a fresh sheet and only make the alterations you want before saving. If you mess up the master copy, reinstall Bar Schedule to the Templates folder and follow the previous instructions.</t>
    </r>
  </si>
  <si>
    <t>Less than min radius</t>
  </si>
  <si>
    <t>No. of schedules:</t>
  </si>
  <si>
    <t>OUTPUT</t>
  </si>
  <si>
    <t>Printing</t>
  </si>
  <si>
    <r>
      <t xml:space="preserve">Click on the </t>
    </r>
    <r>
      <rPr>
        <b/>
        <sz val="10"/>
        <rFont val="Arial"/>
        <family val="2"/>
      </rPr>
      <t>Print</t>
    </r>
    <r>
      <rPr>
        <sz val="10"/>
        <rFont val="Arial"/>
        <family val="2"/>
      </rPr>
      <t xml:space="preserve"> button to print the current schedule.</t>
    </r>
  </si>
  <si>
    <r>
      <t xml:space="preserve">Click on the </t>
    </r>
    <r>
      <rPr>
        <b/>
        <sz val="10"/>
        <rFont val="Arial"/>
        <family val="2"/>
      </rPr>
      <t>Print All</t>
    </r>
    <r>
      <rPr>
        <sz val="10"/>
        <rFont val="Arial"/>
        <family val="2"/>
      </rPr>
      <t xml:space="preserve"> button to print all the schedules.</t>
    </r>
  </si>
  <si>
    <t>NOTES</t>
  </si>
  <si>
    <t>To print a single schedule sheet, click on the printer icon on the toolbar above.</t>
  </si>
  <si>
    <t>Display</t>
  </si>
  <si>
    <t>Adjust the display using the Zoom facility on the toolbar.</t>
  </si>
  <si>
    <t>800x600  with large fonts:    67%</t>
  </si>
  <si>
    <t>800x600  with small fonts:    85%</t>
  </si>
  <si>
    <t>1024x768 with large fonts:   85%</t>
  </si>
  <si>
    <t>1024x768 with small fonts:  105%</t>
  </si>
  <si>
    <t>MS Windows Colour Setting</t>
  </si>
  <si>
    <t>These spreadsheets should be viewed in High Colour (16 bit) or greater.</t>
  </si>
  <si>
    <t>Bar Schedule for Excel 97</t>
  </si>
  <si>
    <t>Recommended zoom settings are as follows:</t>
  </si>
  <si>
    <t>Viewing</t>
  </si>
  <si>
    <t>Responsibility</t>
  </si>
  <si>
    <t>E-mail</t>
  </si>
  <si>
    <r>
      <t>Notes</t>
    </r>
    <r>
      <rPr>
        <sz val="10"/>
        <rFont val="Arial"/>
        <family val="2"/>
      </rPr>
      <t xml:space="preserve">
Enter the details you want to store in the appropriate list.
To clear an entry, right click on the cell and then click Clear Contents.
To save the database to the master copy, click on the SAVE DATABASE bar below this note.</t>
    </r>
  </si>
  <si>
    <t>Data files</t>
  </si>
  <si>
    <r>
      <t xml:space="preserve">Registration of the RCC Spreadsheets for Concrete Design does </t>
    </r>
    <r>
      <rPr>
        <b/>
        <sz val="10"/>
        <color indexed="10"/>
        <rFont val="Arial"/>
        <family val="2"/>
      </rPr>
      <t xml:space="preserve">not </t>
    </r>
    <r>
      <rPr>
        <sz val="10"/>
        <color indexed="10"/>
        <rFont val="Arial"/>
        <family val="2"/>
      </rPr>
      <t>include this spreadsheet.</t>
    </r>
  </si>
  <si>
    <t>Single user licence:</t>
  </si>
  <si>
    <t>Company multiple-user licence:</t>
  </si>
  <si>
    <t>info@structural-engineering.fsnet.co.uk</t>
  </si>
  <si>
    <t>This spreadsheet performs an analysis and design of simply supported and cantilever, steel beams bending about their X-X axis and subjected to gravity loads. Beams can be either with full restraint or without full restraint. Design is in accordance with BS 5950-1:1990. Bending moments, shear forces and deflections are computed at 1/60th positions along the span and the maximums of these values are used for the design. This spreadsheet also contains a calculation sheet for checking local web bearing and buckling. The spreadsheet uses UK steel section properties which have been directly obtained from the Corus Construction Manual, released on CD in February 2000.</t>
  </si>
  <si>
    <r>
      <t xml:space="preserve">To order a copy, please send a cheque payable to 'C. Buczkowski' to the following address:
</t>
    </r>
    <r>
      <rPr>
        <b/>
        <sz val="10"/>
        <rFont val="Arial"/>
        <family val="2"/>
      </rPr>
      <t>6 Stanhope Court, 53-55 Stanhope Road, North Finchley, LONDON  N12 9DZ</t>
    </r>
  </si>
  <si>
    <t>You should include your email or postal address and a contact telephone number. Also include the name you require the spreadsheet registered to (30 characters maximum).</t>
  </si>
  <si>
    <r>
      <t xml:space="preserve">Please ensure you have the latest version of this software, which may be downloaded from the internet via this hyperlink:  </t>
    </r>
    <r>
      <rPr>
        <b/>
        <sz val="10"/>
        <rFont val="Arial"/>
        <family val="2"/>
      </rPr>
      <t>http://www.structural-engineering.fsnet.co.uk/</t>
    </r>
    <r>
      <rPr>
        <sz val="10"/>
        <rFont val="Arial"/>
        <family val="2"/>
      </rPr>
      <t xml:space="preserve">
Click the Connect button to go to the web site.</t>
    </r>
  </si>
  <si>
    <t>Corporate customisation:</t>
  </si>
  <si>
    <t>Support for this spreadsheet may be obtained by email from: info@structural-engineering.fsnet.co.uk</t>
  </si>
  <si>
    <t>REVISION HISTORY</t>
  </si>
  <si>
    <t>Date</t>
  </si>
  <si>
    <t>Action</t>
  </si>
  <si>
    <t>2.30</t>
  </si>
  <si>
    <t>Maintenance update including minor amendments.</t>
  </si>
  <si>
    <t>Negotiable</t>
  </si>
  <si>
    <t>Maintenance update.</t>
  </si>
  <si>
    <t>2.40</t>
  </si>
  <si>
    <r>
      <t xml:space="preserve">Click on the </t>
    </r>
    <r>
      <rPr>
        <b/>
        <sz val="10"/>
        <rFont val="Arial"/>
        <family val="2"/>
      </rPr>
      <t>Save</t>
    </r>
    <r>
      <rPr>
        <sz val="10"/>
        <rFont val="Arial"/>
        <family val="2"/>
      </rPr>
      <t xml:space="preserve"> button to export your schedules to an Excel workbook suitable for emailing or data storage. Choose a name for your workbook and the folder it will be saved in. Default name is </t>
    </r>
    <r>
      <rPr>
        <b/>
        <sz val="10"/>
        <rFont val="Arial"/>
        <family val="2"/>
      </rPr>
      <t>bardata.xls</t>
    </r>
    <r>
      <rPr>
        <sz val="10"/>
        <rFont val="Arial"/>
        <family val="2"/>
      </rPr>
      <t xml:space="preserve"> which can be changed. The sheets in the new workbook have nominal protection without a password. To unprotect, go to </t>
    </r>
    <r>
      <rPr>
        <u/>
        <sz val="10"/>
        <rFont val="Arial"/>
        <family val="2"/>
      </rPr>
      <t>T</t>
    </r>
    <r>
      <rPr>
        <sz val="10"/>
        <rFont val="Arial"/>
        <family val="2"/>
      </rPr>
      <t xml:space="preserve">ools &gt; </t>
    </r>
    <r>
      <rPr>
        <u/>
        <sz val="10"/>
        <rFont val="Arial"/>
        <family val="2"/>
      </rPr>
      <t>P</t>
    </r>
    <r>
      <rPr>
        <sz val="10"/>
        <rFont val="Arial"/>
        <family val="2"/>
      </rPr>
      <t>rotection &gt; Un</t>
    </r>
    <r>
      <rPr>
        <u/>
        <sz val="10"/>
        <rFont val="Arial"/>
        <family val="2"/>
      </rPr>
      <t>p</t>
    </r>
    <r>
      <rPr>
        <sz val="10"/>
        <rFont val="Arial"/>
        <family val="2"/>
      </rPr>
      <t xml:space="preserve">rotect Sheet. To password protect a sheet, unprotect first then go to </t>
    </r>
    <r>
      <rPr>
        <u/>
        <sz val="10"/>
        <rFont val="Arial"/>
        <family val="2"/>
      </rPr>
      <t>T</t>
    </r>
    <r>
      <rPr>
        <sz val="10"/>
        <rFont val="Arial"/>
        <family val="2"/>
      </rPr>
      <t xml:space="preserve">ools &gt; </t>
    </r>
    <r>
      <rPr>
        <u/>
        <sz val="10"/>
        <rFont val="Arial"/>
        <family val="2"/>
      </rPr>
      <t>P</t>
    </r>
    <r>
      <rPr>
        <sz val="10"/>
        <rFont val="Arial"/>
        <family val="2"/>
      </rPr>
      <t xml:space="preserve">rotection &gt; </t>
    </r>
    <r>
      <rPr>
        <u/>
        <sz val="10"/>
        <rFont val="Arial"/>
        <family val="2"/>
      </rPr>
      <t>P</t>
    </r>
    <r>
      <rPr>
        <sz val="10"/>
        <rFont val="Arial"/>
        <family val="2"/>
      </rPr>
      <t xml:space="preserve">rotect Sheet and enter a password.
Attach your workbook to an </t>
    </r>
    <r>
      <rPr>
        <b/>
        <sz val="10"/>
        <rFont val="Arial"/>
        <family val="2"/>
      </rPr>
      <t>e-mail</t>
    </r>
    <r>
      <rPr>
        <sz val="10"/>
        <rFont val="Arial"/>
        <family val="2"/>
      </rPr>
      <t xml:space="preserve"> for transmission to relevant parties.
Data stored in a data file can be imported back into Bar Schedule for further processing. Click on </t>
    </r>
    <r>
      <rPr>
        <b/>
        <sz val="10"/>
        <rFont val="Arial"/>
        <family val="2"/>
      </rPr>
      <t>Open</t>
    </r>
    <r>
      <rPr>
        <sz val="10"/>
        <rFont val="Arial"/>
        <family val="2"/>
      </rPr>
      <t xml:space="preserve"> and retrieve your data file to import your bar schedules.</t>
    </r>
  </si>
  <si>
    <t>To unfreeze, repeat the above while on the schedule sheet.</t>
  </si>
  <si>
    <t>AutoFill bar type</t>
  </si>
  <si>
    <r>
      <t xml:space="preserve">To autofill bar type: Hold </t>
    </r>
    <r>
      <rPr>
        <b/>
        <sz val="10"/>
        <rFont val="Arial"/>
        <family val="2"/>
      </rPr>
      <t>Ctrl</t>
    </r>
    <r>
      <rPr>
        <sz val="10"/>
        <rFont val="Arial"/>
        <family val="2"/>
      </rPr>
      <t xml:space="preserve"> button down and press either </t>
    </r>
    <r>
      <rPr>
        <b/>
        <sz val="10"/>
        <rFont val="Arial"/>
        <family val="2"/>
      </rPr>
      <t>R</t>
    </r>
    <r>
      <rPr>
        <sz val="10"/>
        <rFont val="Arial"/>
        <family val="2"/>
      </rPr>
      <t xml:space="preserve"> or </t>
    </r>
    <r>
      <rPr>
        <b/>
        <sz val="10"/>
        <rFont val="Arial"/>
        <family val="2"/>
      </rPr>
      <t>T</t>
    </r>
    <r>
      <rPr>
        <sz val="10"/>
        <rFont val="Arial"/>
        <family val="2"/>
      </rPr>
      <t xml:space="preserve"> for the type you require.</t>
    </r>
  </si>
  <si>
    <t>AutoFill 'No. of Mbrs'</t>
  </si>
  <si>
    <r>
      <t xml:space="preserve">To autofill no. of mbrs: Hold </t>
    </r>
    <r>
      <rPr>
        <b/>
        <sz val="10"/>
        <rFont val="Arial"/>
        <family val="2"/>
      </rPr>
      <t>Ctrl</t>
    </r>
    <r>
      <rPr>
        <sz val="10"/>
        <rFont val="Arial"/>
        <family val="2"/>
      </rPr>
      <t xml:space="preserve"> button down and press </t>
    </r>
    <r>
      <rPr>
        <b/>
        <sz val="10"/>
        <rFont val="Arial"/>
        <family val="2"/>
      </rPr>
      <t>N</t>
    </r>
    <r>
      <rPr>
        <sz val="10"/>
        <rFont val="Arial"/>
        <family val="2"/>
      </rPr>
      <t>. If a number is entered into the top cell prior to using then the column will fill with that number. If the cell is clear the column will fill with '1'.</t>
    </r>
  </si>
  <si>
    <t>AutoFill Date</t>
  </si>
  <si>
    <r>
      <t xml:space="preserve">To autofill date: Hold </t>
    </r>
    <r>
      <rPr>
        <b/>
        <sz val="10"/>
        <rFont val="Arial"/>
        <family val="2"/>
      </rPr>
      <t>Ctrl</t>
    </r>
    <r>
      <rPr>
        <sz val="10"/>
        <rFont val="Arial"/>
        <family val="2"/>
      </rPr>
      <t xml:space="preserve"> and </t>
    </r>
    <r>
      <rPr>
        <b/>
        <sz val="10"/>
        <rFont val="Arial"/>
        <family val="2"/>
      </rPr>
      <t>Shift</t>
    </r>
    <r>
      <rPr>
        <sz val="10"/>
        <rFont val="Arial"/>
        <family val="2"/>
      </rPr>
      <t xml:space="preserve"> buttons and down and press </t>
    </r>
    <r>
      <rPr>
        <b/>
        <sz val="10"/>
        <rFont val="Arial"/>
        <family val="2"/>
      </rPr>
      <t>D</t>
    </r>
    <r>
      <rPr>
        <sz val="10"/>
        <rFont val="Arial"/>
        <family val="2"/>
      </rPr>
      <t>. The current date will be entered.</t>
    </r>
  </si>
  <si>
    <r>
      <t xml:space="preserve">To freeze the bar schedule column headings on the screen, hold </t>
    </r>
    <r>
      <rPr>
        <b/>
        <sz val="10"/>
        <rFont val="Arial"/>
        <family val="2"/>
      </rPr>
      <t>Ctrl</t>
    </r>
    <r>
      <rPr>
        <sz val="10"/>
        <rFont val="Arial"/>
        <family val="2"/>
      </rPr>
      <t xml:space="preserve"> button down and press </t>
    </r>
    <r>
      <rPr>
        <b/>
        <sz val="10"/>
        <rFont val="Arial"/>
        <family val="2"/>
      </rPr>
      <t>F</t>
    </r>
    <r>
      <rPr>
        <sz val="10"/>
        <rFont val="Arial"/>
        <family val="2"/>
      </rPr>
      <t>.</t>
    </r>
  </si>
  <si>
    <t>Data may be copied and pasted from other applications into Bar Schedule. In order to do this, the protected cells must be avoided, i.e. 'No. off' and 'Length of each bar' columns cannot be pasted to.</t>
  </si>
  <si>
    <t>IMPORTING DATA</t>
  </si>
  <si>
    <r>
      <t xml:space="preserve">Note: Use Edit &gt; Paste Special... and click on Values. </t>
    </r>
    <r>
      <rPr>
        <b/>
        <u/>
        <sz val="10"/>
        <color indexed="10"/>
        <rFont val="Arial"/>
        <family val="2"/>
      </rPr>
      <t>Do not</t>
    </r>
    <r>
      <rPr>
        <b/>
        <sz val="10"/>
        <color indexed="10"/>
        <rFont val="Arial"/>
        <family val="2"/>
      </rPr>
      <t xml:space="preserve"> use Paste on toolbar or under Edit toolbar. </t>
    </r>
  </si>
  <si>
    <t>Major update including improved data export (xls) and new data import (xls) functionality.</t>
  </si>
  <si>
    <t>More Spreadsheets…</t>
  </si>
  <si>
    <t>BAR SCHEDULE 8666 FOR MICROSOFT EXCEL</t>
  </si>
  <si>
    <t>STEEL BEAM FOR MICROSOFT EXCEL</t>
  </si>
  <si>
    <t>WIND DESIGN WORKBOOK</t>
  </si>
  <si>
    <t>This spreadsheet has been developed for use in Microsoft Excel 97 (v8.0) on the Microsoft Windows 95/98 operating systems.</t>
  </si>
  <si>
    <t>This spreadsheet implements the full Standard Method of calculating wind loads for buildings in accordance with BS 6399 : Part 2 : 1997. This method is suitable for buildings up to 100m high. The workbook contains spreadsheets which can be printed as complete calculation pages. It also contains spreadsheets which can be used as design aids, useful for hand calculations or checking designs. For Engineers new to the code, the spreadsheet can prove an invaluable teaching aid.</t>
  </si>
  <si>
    <t>REINFORCED CONCRETE WORKBOOK</t>
  </si>
  <si>
    <t>A spreadsheet which is a powerful aid for the reinforced concrete detailer or designer. It contains many of the everyday calculations required for detailing and designing reinforced concrete such as lap lengths, minimum spacings, bar bend dimensions and much more! This spreadsheet could be looked on as an electronic book with an index followed by pages containing many individual calculators. Each calculator has a specific task to perform. The Reinforced Concrete Workbook also acts as an aide memoir, reminding the user of the various checks to be made.</t>
  </si>
  <si>
    <t>FREE SPREADSHEETS !!</t>
  </si>
  <si>
    <t>REINFORCEMENT AREAS</t>
  </si>
  <si>
    <t>An interactive sheet for determining areas of reinforcement for concrete.</t>
  </si>
  <si>
    <t>ISSUE SHEET</t>
  </si>
  <si>
    <t>A must for every office, a simple but presentable document/drawing issue sheet that can be customised with your company's name.</t>
  </si>
  <si>
    <t>STRUCTURAL SECTIONS</t>
  </si>
  <si>
    <t>British Steel (Corus) steel section tables in Excel format.</t>
  </si>
  <si>
    <t>The latest version of these spreadsheets may be downloaded from :</t>
  </si>
  <si>
    <t>http://www.structural-engineering.fsnet.co.uk/</t>
  </si>
  <si>
    <t>Exiting Bar Schedule</t>
  </si>
  <si>
    <t>Tip #1</t>
  </si>
  <si>
    <t>Tip #2</t>
  </si>
  <si>
    <t>T</t>
  </si>
  <si>
    <t>D.C</t>
  </si>
  <si>
    <t>1</t>
  </si>
  <si>
    <t>STRIP FOUNDATION</t>
  </si>
  <si>
    <t>BEAM 1</t>
  </si>
  <si>
    <t>BEAM 2</t>
  </si>
  <si>
    <t>WSTF DTF BBS</t>
  </si>
  <si>
    <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</si>
</sst>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9" formatCode="&quot;£&quot;#,##0;[Red]\-&quot;£&quot;#,##0"/>
    <numFmt numFmtId="184" formatCode="_-&quot;£&quot;* #,##0.00_-;\-&quot;£&quot;* #,##0.00_-;_-&quot;£&quot;* &quot;-&quot;??_-;_-@_-"/>
    <numFmt numFmtId="188" formatCode="0.0"/>
    <numFmt numFmtId="190" formatCode="00"/>
    <numFmt numFmtId="191" formatCode="000"/>
    <numFmt numFmtId="193" formatCode="[Red][&gt;12000]General;General"/>
    <numFmt numFmtId="194" formatCode="[&gt;0]General;"/>
    <numFmt numFmtId="195" formatCode="0.00&quot; tonnes&quot;"/>
    <numFmt numFmtId="196" formatCode="[&gt;0]00;"/>
    <numFmt numFmtId="198" formatCode="[&gt;0]0.0;"/>
  </numFmts>
  <fonts count="42">
    <font>
      <sz val="10"/>
      <name val="Arial"/>
      <family val="2"/>
    </font>
    <font>
      <sz val="10"/>
      <name val="Arial"/>
    </font>
    <font>
      <sz val="12"/>
      <name val="Arial"/>
      <family val="2"/>
    </font>
    <font>
      <sz val="10"/>
      <name val="Arial"/>
      <family val="2"/>
    </font>
    <font>
      <sz val="9"/>
      <name val="Arial"/>
      <family val="2"/>
    </font>
    <font>
      <sz val="14"/>
      <name val="Arial Black"/>
      <family val="2"/>
    </font>
    <font>
      <b/>
      <sz val="10"/>
      <name val="Arial"/>
      <family val="2"/>
    </font>
    <font>
      <sz val="8"/>
      <color indexed="10"/>
      <name val="Arial"/>
      <family val="2"/>
    </font>
    <font>
      <i/>
      <sz val="10"/>
      <name val="Arial"/>
      <family val="2"/>
    </font>
    <font>
      <b/>
      <sz val="7"/>
      <color indexed="81"/>
      <name val="Tahoma"/>
    </font>
    <font>
      <sz val="8"/>
      <name val="Arial"/>
      <family val="2"/>
    </font>
    <font>
      <sz val="6"/>
      <name val="Arial"/>
      <family val="2"/>
    </font>
    <font>
      <sz val="11"/>
      <name val="Arial"/>
      <family val="2"/>
    </font>
    <font>
      <sz val="10"/>
      <name val="Tekton"/>
      <family val="2"/>
    </font>
    <font>
      <sz val="10"/>
      <color indexed="12"/>
      <name val="Tekton"/>
      <family val="2"/>
    </font>
    <font>
      <sz val="11"/>
      <name val="Tekton"/>
      <family val="2"/>
    </font>
    <font>
      <u/>
      <sz val="10"/>
      <name val="Arial"/>
      <family val="2"/>
    </font>
    <font>
      <sz val="9"/>
      <color indexed="12"/>
      <name val="Arial"/>
      <family val="2"/>
    </font>
    <font>
      <b/>
      <sz val="12"/>
      <name val="Tekton"/>
      <family val="2"/>
    </font>
    <font>
      <sz val="7"/>
      <color indexed="81"/>
      <name val="Tahoma"/>
      <family val="2"/>
    </font>
    <font>
      <b/>
      <sz val="10"/>
      <color indexed="10"/>
      <name val="Arial"/>
      <family val="2"/>
    </font>
    <font>
      <u/>
      <sz val="10"/>
      <color indexed="12"/>
      <name val="Arial"/>
    </font>
    <font>
      <sz val="10"/>
      <color indexed="10"/>
      <name val="Arial"/>
      <family val="2"/>
    </font>
    <font>
      <sz val="16"/>
      <name val="Arial Black"/>
      <family val="2"/>
    </font>
    <font>
      <sz val="8"/>
      <name val="Tekton"/>
      <family val="2"/>
    </font>
    <font>
      <b/>
      <sz val="8"/>
      <name val="Arial"/>
      <family val="2"/>
    </font>
    <font>
      <sz val="14"/>
      <color indexed="12"/>
      <name val="Arial"/>
      <family val="2"/>
    </font>
    <font>
      <sz val="12"/>
      <name val="Tekton"/>
      <family val="2"/>
    </font>
    <font>
      <sz val="18"/>
      <name val="Arial Black"/>
      <family val="2"/>
    </font>
    <font>
      <b/>
      <sz val="12"/>
      <color indexed="10"/>
      <name val="Arial"/>
      <family val="2"/>
    </font>
    <font>
      <b/>
      <u/>
      <sz val="10"/>
      <color indexed="10"/>
      <name val="Arial"/>
      <family val="2"/>
    </font>
    <font>
      <sz val="20"/>
      <name val="Arial Black"/>
      <family val="2"/>
    </font>
    <font>
      <b/>
      <sz val="12"/>
      <name val="Arial"/>
      <family val="2"/>
    </font>
    <font>
      <sz val="12"/>
      <name val="Arial Black"/>
      <family val="2"/>
    </font>
    <font>
      <u/>
      <sz val="12"/>
      <name val="Arial"/>
      <family val="2"/>
    </font>
    <font>
      <b/>
      <u/>
      <sz val="10"/>
      <name val="Arial"/>
      <family val="2"/>
    </font>
    <font>
      <sz val="10"/>
      <color indexed="18"/>
      <name val="Arial"/>
      <family val="2"/>
    </font>
    <font>
      <b/>
      <sz val="10"/>
      <color indexed="18"/>
      <name val="Arial"/>
      <family val="2"/>
    </font>
    <font>
      <b/>
      <sz val="9"/>
      <color indexed="18"/>
      <name val="Arial"/>
      <family val="2"/>
    </font>
    <font>
      <sz val="9"/>
      <color indexed="18"/>
      <name val="Arial"/>
      <family val="2"/>
    </font>
    <font>
      <b/>
      <sz val="14"/>
      <color indexed="18"/>
      <name val="Arial"/>
      <family val="2"/>
    </font>
    <font>
      <b/>
      <u/>
      <sz val="10"/>
      <color indexed="12"/>
      <name val="Arial"/>
      <family val="2"/>
    </font>
  </fonts>
  <fills count="8">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indexed="23"/>
        <bgColor indexed="64"/>
      </patternFill>
    </fill>
    <fill>
      <patternFill patternType="solid">
        <fgColor indexed="51"/>
        <bgColor indexed="64"/>
      </patternFill>
    </fill>
    <fill>
      <patternFill patternType="solid">
        <fgColor indexed="47"/>
        <bgColor indexed="64"/>
      </patternFill>
    </fill>
    <fill>
      <patternFill patternType="solid">
        <fgColor indexed="13"/>
        <bgColor indexed="64"/>
      </patternFill>
    </fill>
  </fills>
  <borders count="50">
    <border>
      <left/>
      <right/>
      <top/>
      <bottom/>
      <diagonal/>
    </border>
    <border>
      <left style="thin">
        <color indexed="64"/>
      </left>
      <right/>
      <top style="thin">
        <color indexed="64"/>
      </top>
      <bottom/>
      <diagonal/>
    </border>
    <border>
      <left style="dashed">
        <color indexed="64"/>
      </left>
      <right style="dashed">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57"/>
      </left>
      <right style="hair">
        <color indexed="57"/>
      </right>
      <top style="hair">
        <color indexed="57"/>
      </top>
      <bottom style="hair">
        <color indexed="57"/>
      </bottom>
      <diagonal/>
    </border>
    <border>
      <left/>
      <right style="hair">
        <color indexed="57"/>
      </right>
      <top/>
      <bottom style="hair">
        <color indexed="57"/>
      </bottom>
      <diagonal/>
    </border>
    <border>
      <left style="hair">
        <color indexed="57"/>
      </left>
      <right/>
      <top style="hair">
        <color indexed="57"/>
      </top>
      <bottom/>
      <diagonal/>
    </border>
    <border>
      <left/>
      <right style="hair">
        <color indexed="57"/>
      </right>
      <top style="hair">
        <color indexed="57"/>
      </top>
      <bottom/>
      <diagonal/>
    </border>
    <border>
      <left style="hair">
        <color indexed="57"/>
      </left>
      <right/>
      <top/>
      <bottom/>
      <diagonal/>
    </border>
    <border>
      <left/>
      <right style="hair">
        <color indexed="57"/>
      </right>
      <top/>
      <bottom/>
      <diagonal/>
    </border>
    <border>
      <left style="hair">
        <color indexed="57"/>
      </left>
      <right/>
      <top/>
      <bottom style="hair">
        <color indexed="57"/>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style="double">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57"/>
      </left>
      <right/>
      <top style="hair">
        <color indexed="57"/>
      </top>
      <bottom style="hair">
        <color indexed="57"/>
      </bottom>
      <diagonal/>
    </border>
    <border>
      <left/>
      <right/>
      <top style="hair">
        <color indexed="57"/>
      </top>
      <bottom style="hair">
        <color indexed="57"/>
      </bottom>
      <diagonal/>
    </border>
    <border>
      <left/>
      <right style="hair">
        <color indexed="57"/>
      </right>
      <top style="hair">
        <color indexed="57"/>
      </top>
      <bottom style="hair">
        <color indexed="57"/>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thin">
        <color indexed="64"/>
      </left>
      <right style="thin">
        <color indexed="64"/>
      </right>
      <top/>
      <bottom/>
      <diagonal/>
    </border>
  </borders>
  <cellStyleXfs count="3">
    <xf numFmtId="0" fontId="0" fillId="0" borderId="0"/>
    <xf numFmtId="184" fontId="1" fillId="0" borderId="0" applyFont="0" applyFill="0" applyBorder="0" applyAlignment="0" applyProtection="0"/>
    <xf numFmtId="0" fontId="21" fillId="0" borderId="0" applyNumberFormat="0" applyFill="0" applyBorder="0" applyAlignment="0" applyProtection="0">
      <alignment vertical="top"/>
      <protection locked="0"/>
    </xf>
  </cellStyleXfs>
  <cellXfs count="544">
    <xf numFmtId="0" fontId="0" fillId="0" borderId="0" xfId="0"/>
    <xf numFmtId="0" fontId="0" fillId="0" borderId="0" xfId="0" applyFill="1" applyProtection="1">
      <protection hidden="1"/>
    </xf>
    <xf numFmtId="0" fontId="12" fillId="0" borderId="0" xfId="0" applyFont="1" applyFill="1" applyProtection="1">
      <protection hidden="1"/>
    </xf>
    <xf numFmtId="0" fontId="7" fillId="0" borderId="0" xfId="0" applyFont="1" applyFill="1" applyAlignment="1" applyProtection="1">
      <protection hidden="1"/>
    </xf>
    <xf numFmtId="0" fontId="0" fillId="0" borderId="0" xfId="0" applyFill="1" applyAlignment="1" applyProtection="1">
      <protection hidden="1"/>
    </xf>
    <xf numFmtId="0" fontId="2" fillId="0" borderId="0" xfId="0" applyFont="1" applyFill="1" applyProtection="1">
      <protection hidden="1"/>
    </xf>
    <xf numFmtId="0" fontId="0" fillId="0" borderId="0" xfId="0" applyFill="1" applyBorder="1" applyProtection="1">
      <protection hidden="1"/>
    </xf>
    <xf numFmtId="0" fontId="12" fillId="0" borderId="0" xfId="0" applyFont="1" applyFill="1" applyAlignment="1" applyProtection="1">
      <alignment horizontal="right"/>
      <protection hidden="1"/>
    </xf>
    <xf numFmtId="0" fontId="8" fillId="0" borderId="1"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3" xfId="0" applyFont="1" applyFill="1" applyBorder="1" applyAlignment="1" applyProtection="1">
      <alignment horizontal="center" vertical="center" wrapText="1"/>
      <protection hidden="1"/>
    </xf>
    <xf numFmtId="0" fontId="4" fillId="0" borderId="4"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0" fontId="4" fillId="0" borderId="6" xfId="0" applyFont="1" applyFill="1" applyBorder="1" applyAlignment="1" applyProtection="1">
      <alignment horizontal="center" vertical="center" wrapText="1"/>
      <protection hidden="1"/>
    </xf>
    <xf numFmtId="49" fontId="15" fillId="0" borderId="7" xfId="0" applyNumberFormat="1" applyFont="1" applyFill="1" applyBorder="1" applyAlignment="1" applyProtection="1">
      <alignment vertical="center" wrapText="1"/>
      <protection locked="0"/>
    </xf>
    <xf numFmtId="0" fontId="3" fillId="0" borderId="0" xfId="0" applyFont="1" applyFill="1" applyProtection="1">
      <protection hidden="1"/>
    </xf>
    <xf numFmtId="0" fontId="7" fillId="0" borderId="0" xfId="0" applyFont="1" applyFill="1" applyProtection="1">
      <protection hidden="1"/>
    </xf>
    <xf numFmtId="0" fontId="11" fillId="0" borderId="0" xfId="0" applyFont="1" applyFill="1" applyProtection="1">
      <protection hidden="1"/>
    </xf>
    <xf numFmtId="0" fontId="11" fillId="0" borderId="0" xfId="0" applyFont="1" applyFill="1" applyAlignment="1" applyProtection="1">
      <alignment horizontal="right"/>
      <protection hidden="1"/>
    </xf>
    <xf numFmtId="0" fontId="11" fillId="0" borderId="0" xfId="0" applyFont="1" applyFill="1" applyBorder="1" applyAlignment="1" applyProtection="1">
      <alignment horizontal="right"/>
      <protection hidden="1"/>
    </xf>
    <xf numFmtId="0" fontId="10" fillId="0" borderId="0" xfId="0" applyFont="1" applyFill="1" applyProtection="1">
      <protection hidden="1"/>
    </xf>
    <xf numFmtId="0" fontId="10" fillId="0" borderId="0" xfId="0" applyFont="1" applyFill="1" applyAlignment="1" applyProtection="1">
      <alignment horizontal="right"/>
      <protection hidden="1"/>
    </xf>
    <xf numFmtId="0" fontId="10" fillId="0" borderId="0" xfId="0" applyFont="1" applyFill="1" applyBorder="1" applyAlignment="1" applyProtection="1">
      <alignment horizontal="right"/>
      <protection hidden="1"/>
    </xf>
    <xf numFmtId="0" fontId="13" fillId="0" borderId="0" xfId="0" applyFont="1" applyFill="1" applyBorder="1" applyAlignment="1" applyProtection="1">
      <alignment horizontal="center" vertical="center" shrinkToFit="1"/>
      <protection locked="0"/>
    </xf>
    <xf numFmtId="190" fontId="0" fillId="0" borderId="0" xfId="0" applyNumberFormat="1"/>
    <xf numFmtId="0" fontId="3" fillId="0" borderId="0" xfId="0" applyFont="1"/>
    <xf numFmtId="0" fontId="3" fillId="0" borderId="7" xfId="0" applyFont="1" applyBorder="1" applyAlignment="1">
      <alignment horizontal="center"/>
    </xf>
    <xf numFmtId="0" fontId="3" fillId="0" borderId="8" xfId="0" applyFont="1" applyBorder="1" applyAlignment="1">
      <alignment horizontal="center"/>
    </xf>
    <xf numFmtId="0" fontId="3" fillId="0" borderId="0" xfId="0" applyFont="1" applyAlignment="1">
      <alignment horizontal="center"/>
    </xf>
    <xf numFmtId="0" fontId="6" fillId="0" borderId="9" xfId="0" applyFont="1" applyBorder="1" applyAlignment="1">
      <alignment horizontal="centerContinuous"/>
    </xf>
    <xf numFmtId="0" fontId="3" fillId="0" borderId="9" xfId="0" applyFont="1" applyBorder="1" applyAlignment="1">
      <alignment horizontal="centerContinuous"/>
    </xf>
    <xf numFmtId="0" fontId="3" fillId="0" borderId="9" xfId="0" applyFont="1" applyBorder="1"/>
    <xf numFmtId="49" fontId="0" fillId="0" borderId="0" xfId="0" applyNumberFormat="1" applyFill="1" applyBorder="1" applyAlignment="1" applyProtection="1">
      <alignment horizontal="center"/>
      <protection hidden="1"/>
    </xf>
    <xf numFmtId="49" fontId="13" fillId="0" borderId="0" xfId="0" applyNumberFormat="1" applyFont="1" applyFill="1" applyAlignment="1" applyProtection="1">
      <alignment horizontal="center" wrapText="1"/>
      <protection hidden="1"/>
    </xf>
    <xf numFmtId="49" fontId="0" fillId="0" borderId="0" xfId="0" applyNumberFormat="1" applyFill="1" applyBorder="1" applyAlignment="1" applyProtection="1">
      <alignment horizontal="center" wrapText="1"/>
      <protection hidden="1"/>
    </xf>
    <xf numFmtId="49" fontId="13" fillId="0" borderId="0" xfId="0" applyNumberFormat="1" applyFont="1" applyFill="1" applyAlignment="1" applyProtection="1">
      <alignment horizontal="center" shrinkToFit="1"/>
      <protection locked="0"/>
    </xf>
    <xf numFmtId="0" fontId="10" fillId="0" borderId="0" xfId="0" applyFont="1" applyFill="1" applyAlignment="1" applyProtection="1">
      <alignment vertical="center"/>
      <protection hidden="1"/>
    </xf>
    <xf numFmtId="0" fontId="0" fillId="2" borderId="0" xfId="0" applyFill="1" applyProtection="1">
      <protection hidden="1"/>
    </xf>
    <xf numFmtId="0" fontId="3" fillId="2" borderId="0" xfId="0" applyFont="1" applyFill="1" applyProtection="1">
      <protection hidden="1"/>
    </xf>
    <xf numFmtId="0" fontId="26" fillId="2" borderId="0" xfId="0" applyFont="1" applyFill="1"/>
    <xf numFmtId="0" fontId="0" fillId="2" borderId="0" xfId="0" applyFill="1"/>
    <xf numFmtId="0" fontId="3" fillId="2" borderId="0" xfId="0" applyFont="1" applyFill="1" applyAlignment="1" applyProtection="1">
      <alignment horizontal="center"/>
      <protection hidden="1"/>
    </xf>
    <xf numFmtId="0" fontId="2" fillId="2" borderId="0" xfId="0" applyFont="1" applyFill="1" applyProtection="1">
      <protection hidden="1"/>
    </xf>
    <xf numFmtId="0" fontId="0" fillId="2" borderId="0" xfId="0" applyFill="1" applyAlignment="1" applyProtection="1">
      <alignment horizontal="center"/>
      <protection hidden="1"/>
    </xf>
    <xf numFmtId="0" fontId="17" fillId="2" borderId="0" xfId="0" applyFont="1" applyFill="1" applyProtection="1">
      <protection hidden="1"/>
    </xf>
    <xf numFmtId="0" fontId="14" fillId="2" borderId="0" xfId="0" applyFont="1" applyFill="1" applyProtection="1">
      <protection hidden="1"/>
    </xf>
    <xf numFmtId="0" fontId="4" fillId="2" borderId="0" xfId="0" applyFont="1" applyFill="1" applyProtection="1">
      <protection hidden="1"/>
    </xf>
    <xf numFmtId="0" fontId="17" fillId="2" borderId="0" xfId="0" applyFont="1" applyFill="1" applyAlignment="1" applyProtection="1">
      <protection hidden="1"/>
    </xf>
    <xf numFmtId="0" fontId="0" fillId="2" borderId="0" xfId="0" applyFill="1" applyBorder="1" applyProtection="1">
      <protection hidden="1"/>
    </xf>
    <xf numFmtId="0" fontId="3" fillId="2" borderId="0" xfId="0" applyFont="1" applyFill="1" applyBorder="1" applyAlignment="1" applyProtection="1">
      <alignment horizontal="center" vertical="center" wrapText="1"/>
      <protection hidden="1"/>
    </xf>
    <xf numFmtId="0" fontId="10" fillId="2" borderId="0" xfId="0" applyFont="1" applyFill="1" applyBorder="1" applyAlignment="1" applyProtection="1">
      <alignment horizontal="center" vertical="center" wrapText="1"/>
      <protection hidden="1"/>
    </xf>
    <xf numFmtId="0" fontId="25" fillId="2" borderId="0" xfId="0" applyFont="1" applyFill="1" applyBorder="1" applyAlignment="1" applyProtection="1">
      <alignment horizontal="center" vertical="center" wrapText="1"/>
      <protection hidden="1"/>
    </xf>
    <xf numFmtId="0" fontId="0" fillId="2" borderId="0" xfId="0" applyFill="1" applyAlignment="1" applyProtection="1">
      <alignment vertical="center" shrinkToFit="1"/>
      <protection hidden="1"/>
    </xf>
    <xf numFmtId="0" fontId="3" fillId="2" borderId="0" xfId="0" applyFont="1" applyFill="1" applyBorder="1" applyAlignment="1" applyProtection="1">
      <alignment horizontal="center"/>
      <protection hidden="1"/>
    </xf>
    <xf numFmtId="2" fontId="0" fillId="2" borderId="0" xfId="0" applyNumberFormat="1" applyFill="1" applyProtection="1">
      <protection hidden="1"/>
    </xf>
    <xf numFmtId="2" fontId="0" fillId="2" borderId="0" xfId="0" applyNumberFormat="1" applyFill="1" applyAlignment="1" applyProtection="1">
      <alignment horizontal="center"/>
      <protection hidden="1"/>
    </xf>
    <xf numFmtId="0" fontId="14" fillId="2" borderId="0" xfId="0" applyFont="1" applyFill="1" applyAlignment="1" applyProtection="1">
      <protection hidden="1"/>
    </xf>
    <xf numFmtId="0" fontId="17" fillId="0" borderId="0" xfId="0" applyFont="1" applyFill="1" applyAlignment="1" applyProtection="1">
      <alignment horizontal="right"/>
      <protection hidden="1"/>
    </xf>
    <xf numFmtId="0" fontId="6" fillId="2" borderId="0" xfId="0" applyFont="1" applyFill="1" applyBorder="1" applyAlignment="1" applyProtection="1">
      <alignment horizontal="center" vertical="center"/>
      <protection hidden="1"/>
    </xf>
    <xf numFmtId="0" fontId="18" fillId="2" borderId="0" xfId="0" applyFont="1" applyFill="1" applyBorder="1" applyAlignment="1">
      <alignment vertical="center"/>
    </xf>
    <xf numFmtId="0" fontId="3" fillId="2" borderId="0" xfId="0" applyFont="1" applyFill="1" applyBorder="1" applyAlignment="1" applyProtection="1">
      <alignment horizontal="center" vertical="center"/>
      <protection hidden="1"/>
    </xf>
    <xf numFmtId="0" fontId="0" fillId="2" borderId="0" xfId="0" applyFill="1" applyBorder="1" applyAlignment="1">
      <alignment horizontal="center" vertical="center"/>
    </xf>
    <xf numFmtId="0" fontId="4" fillId="2" borderId="0" xfId="0" applyFont="1" applyFill="1" applyAlignment="1" applyProtection="1">
      <alignment horizontal="right" vertical="center"/>
      <protection hidden="1"/>
    </xf>
    <xf numFmtId="195" fontId="4" fillId="2" borderId="0" xfId="0" applyNumberFormat="1" applyFont="1" applyFill="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wrapText="1"/>
      <protection hidden="1"/>
    </xf>
    <xf numFmtId="0" fontId="10" fillId="2" borderId="10" xfId="0" applyFont="1" applyFill="1" applyBorder="1" applyAlignment="1" applyProtection="1">
      <alignment horizontal="center" vertical="center" wrapText="1"/>
      <protection hidden="1"/>
    </xf>
    <xf numFmtId="0" fontId="10" fillId="2" borderId="10" xfId="0" applyFont="1" applyFill="1" applyBorder="1" applyAlignment="1" applyProtection="1">
      <alignment vertical="center" shrinkToFit="1"/>
      <protection hidden="1"/>
    </xf>
    <xf numFmtId="0" fontId="3" fillId="2" borderId="11" xfId="0" applyFont="1" applyFill="1" applyBorder="1" applyProtection="1">
      <protection hidden="1"/>
    </xf>
    <xf numFmtId="0" fontId="4" fillId="2" borderId="12" xfId="0" applyFont="1" applyFill="1" applyBorder="1" applyProtection="1">
      <protection hidden="1"/>
    </xf>
    <xf numFmtId="0" fontId="0" fillId="2" borderId="13" xfId="0" applyFill="1" applyBorder="1" applyProtection="1">
      <protection hidden="1"/>
    </xf>
    <xf numFmtId="0" fontId="4" fillId="2" borderId="14" xfId="0" applyFont="1" applyFill="1" applyBorder="1" applyProtection="1">
      <protection hidden="1"/>
    </xf>
    <xf numFmtId="0" fontId="0" fillId="2" borderId="15" xfId="0" applyFill="1" applyBorder="1" applyProtection="1">
      <protection hidden="1"/>
    </xf>
    <xf numFmtId="0" fontId="4" fillId="2" borderId="16" xfId="0" applyFont="1" applyFill="1" applyBorder="1" applyAlignment="1" applyProtection="1">
      <protection hidden="1"/>
    </xf>
    <xf numFmtId="0" fontId="3" fillId="2" borderId="10" xfId="0" applyFont="1" applyFill="1" applyBorder="1" applyAlignment="1" applyProtection="1">
      <alignment horizontal="center"/>
      <protection hidden="1"/>
    </xf>
    <xf numFmtId="0" fontId="2" fillId="2" borderId="10" xfId="0" applyFont="1" applyFill="1" applyBorder="1" applyAlignment="1" applyProtection="1">
      <alignment horizontal="center" vertical="center"/>
      <protection hidden="1"/>
    </xf>
    <xf numFmtId="0" fontId="3" fillId="2" borderId="10" xfId="0" applyFont="1" applyFill="1" applyBorder="1" applyProtection="1">
      <protection hidden="1"/>
    </xf>
    <xf numFmtId="0" fontId="3" fillId="2" borderId="0" xfId="0" applyFont="1" applyFill="1" applyAlignment="1" applyProtection="1">
      <alignment horizontal="centerContinuous"/>
      <protection hidden="1"/>
    </xf>
    <xf numFmtId="0" fontId="2" fillId="2" borderId="0" xfId="0" applyFont="1" applyFill="1" applyAlignment="1" applyProtection="1">
      <alignment horizontal="centerContinuous"/>
      <protection hidden="1"/>
    </xf>
    <xf numFmtId="0" fontId="0" fillId="2" borderId="0" xfId="0" applyFill="1" applyAlignment="1" applyProtection="1">
      <alignment horizontal="centerContinuous"/>
      <protection hidden="1"/>
    </xf>
    <xf numFmtId="0" fontId="6" fillId="2" borderId="0" xfId="0" applyFont="1" applyFill="1" applyAlignment="1" applyProtection="1">
      <alignment horizontal="centerContinuous"/>
      <protection hidden="1"/>
    </xf>
    <xf numFmtId="0" fontId="4" fillId="2" borderId="11" xfId="0" applyFont="1" applyFill="1" applyBorder="1" applyAlignment="1" applyProtection="1">
      <alignment horizontal="center"/>
      <protection locked="0" hidden="1"/>
    </xf>
    <xf numFmtId="0" fontId="3" fillId="3" borderId="17" xfId="0" applyFont="1" applyFill="1" applyBorder="1" applyProtection="1">
      <protection hidden="1"/>
    </xf>
    <xf numFmtId="0" fontId="3" fillId="3" borderId="0" xfId="0" applyFont="1" applyFill="1" applyBorder="1" applyProtection="1">
      <protection hidden="1"/>
    </xf>
    <xf numFmtId="0" fontId="3" fillId="3" borderId="0" xfId="0" applyFont="1" applyFill="1" applyBorder="1" applyAlignment="1" applyProtection="1">
      <protection hidden="1"/>
    </xf>
    <xf numFmtId="0" fontId="22" fillId="3" borderId="0" xfId="0" applyFont="1" applyFill="1" applyBorder="1" applyProtection="1">
      <protection hidden="1"/>
    </xf>
    <xf numFmtId="0" fontId="3" fillId="3" borderId="0" xfId="0" applyFont="1" applyFill="1" applyProtection="1">
      <protection hidden="1"/>
    </xf>
    <xf numFmtId="0" fontId="4" fillId="0" borderId="4" xfId="0" applyFont="1" applyFill="1" applyBorder="1" applyAlignment="1" applyProtection="1">
      <alignment horizontal="center"/>
      <protection hidden="1"/>
    </xf>
    <xf numFmtId="0" fontId="4" fillId="0" borderId="6" xfId="0" applyFont="1" applyFill="1" applyBorder="1" applyAlignment="1" applyProtection="1">
      <alignment horizontal="center"/>
      <protection hidden="1"/>
    </xf>
    <xf numFmtId="0" fontId="27" fillId="3" borderId="0" xfId="0" applyFont="1" applyFill="1" applyBorder="1" applyAlignment="1">
      <alignment horizontal="justify" vertical="top" wrapText="1"/>
    </xf>
    <xf numFmtId="49" fontId="13" fillId="0" borderId="0" xfId="0" applyNumberFormat="1" applyFont="1" applyFill="1" applyAlignment="1" applyProtection="1">
      <alignment horizontal="center" shrinkToFit="1"/>
      <protection hidden="1"/>
    </xf>
    <xf numFmtId="49" fontId="15" fillId="0" borderId="7" xfId="0" applyNumberFormat="1" applyFont="1" applyFill="1" applyBorder="1" applyAlignment="1" applyProtection="1">
      <alignment vertical="center" wrapText="1"/>
      <protection hidden="1"/>
    </xf>
    <xf numFmtId="0" fontId="13" fillId="0" borderId="0" xfId="0" applyFont="1" applyFill="1" applyBorder="1" applyAlignment="1" applyProtection="1">
      <alignment horizontal="center" vertical="center" shrinkToFit="1"/>
      <protection hidden="1"/>
    </xf>
    <xf numFmtId="0" fontId="3" fillId="2" borderId="10" xfId="0" applyFont="1" applyFill="1" applyBorder="1" applyAlignment="1" applyProtection="1">
      <alignment horizontal="center"/>
      <protection locked="0" hidden="1"/>
    </xf>
    <xf numFmtId="0" fontId="0" fillId="4" borderId="0" xfId="0" applyFill="1" applyProtection="1">
      <protection hidden="1"/>
    </xf>
    <xf numFmtId="2" fontId="0" fillId="4" borderId="0" xfId="0" applyNumberFormat="1" applyFill="1" applyProtection="1">
      <protection hidden="1"/>
    </xf>
    <xf numFmtId="0" fontId="0" fillId="4" borderId="0" xfId="0" applyFill="1" applyBorder="1" applyAlignment="1" applyProtection="1">
      <protection hidden="1"/>
    </xf>
    <xf numFmtId="0" fontId="0" fillId="3" borderId="0" xfId="0" applyFill="1" applyProtection="1">
      <protection hidden="1"/>
    </xf>
    <xf numFmtId="0" fontId="0" fillId="3" borderId="0" xfId="0" applyFill="1" applyAlignment="1" applyProtection="1">
      <protection hidden="1"/>
    </xf>
    <xf numFmtId="0" fontId="4" fillId="3" borderId="0" xfId="0" applyFont="1" applyFill="1" applyAlignment="1" applyProtection="1">
      <protection hidden="1"/>
    </xf>
    <xf numFmtId="0" fontId="0" fillId="3" borderId="0" xfId="0" applyFill="1" applyAlignment="1" applyProtection="1">
      <alignment horizontal="justify" wrapText="1"/>
      <protection hidden="1"/>
    </xf>
    <xf numFmtId="0" fontId="6" fillId="3" borderId="0" xfId="0" applyFont="1" applyFill="1" applyProtection="1">
      <protection hidden="1"/>
    </xf>
    <xf numFmtId="0" fontId="3" fillId="3" borderId="0" xfId="0" applyFont="1" applyFill="1" applyAlignment="1" applyProtection="1">
      <protection hidden="1"/>
    </xf>
    <xf numFmtId="0" fontId="6" fillId="5" borderId="1" xfId="0" applyFont="1" applyFill="1" applyBorder="1" applyAlignment="1" applyProtection="1">
      <protection hidden="1"/>
    </xf>
    <xf numFmtId="0" fontId="0" fillId="5" borderId="17" xfId="0" applyFill="1" applyBorder="1" applyAlignment="1" applyProtection="1">
      <alignment horizontal="centerContinuous" wrapText="1"/>
      <protection hidden="1"/>
    </xf>
    <xf numFmtId="0" fontId="3" fillId="5" borderId="17" xfId="0" applyFont="1" applyFill="1" applyBorder="1" applyProtection="1">
      <protection hidden="1"/>
    </xf>
    <xf numFmtId="0" fontId="3" fillId="5" borderId="3" xfId="0" applyFont="1" applyFill="1" applyBorder="1" applyProtection="1">
      <protection hidden="1"/>
    </xf>
    <xf numFmtId="0" fontId="3" fillId="5" borderId="8" xfId="0" applyFont="1" applyFill="1" applyBorder="1" applyProtection="1">
      <protection hidden="1"/>
    </xf>
    <xf numFmtId="0" fontId="0" fillId="5" borderId="0" xfId="0" applyFill="1" applyBorder="1" applyAlignment="1" applyProtection="1">
      <alignment horizontal="centerContinuous" wrapText="1"/>
      <protection hidden="1"/>
    </xf>
    <xf numFmtId="0" fontId="3" fillId="5" borderId="0" xfId="0" applyFont="1" applyFill="1" applyBorder="1" applyProtection="1">
      <protection hidden="1"/>
    </xf>
    <xf numFmtId="0" fontId="3" fillId="5" borderId="18" xfId="0" applyFont="1" applyFill="1" applyBorder="1" applyProtection="1">
      <protection hidden="1"/>
    </xf>
    <xf numFmtId="0" fontId="3" fillId="5" borderId="0" xfId="0" applyFont="1" applyFill="1" applyProtection="1">
      <protection hidden="1"/>
    </xf>
    <xf numFmtId="0" fontId="0" fillId="5" borderId="0" xfId="0" applyFill="1"/>
    <xf numFmtId="0" fontId="21" fillId="5" borderId="0" xfId="2" applyFill="1" applyBorder="1" applyAlignment="1" applyProtection="1">
      <protection hidden="1"/>
    </xf>
    <xf numFmtId="0" fontId="0" fillId="5" borderId="0" xfId="0" applyFill="1" applyBorder="1" applyProtection="1">
      <protection hidden="1"/>
    </xf>
    <xf numFmtId="0" fontId="3" fillId="5" borderId="4" xfId="0" applyFont="1" applyFill="1" applyBorder="1" applyAlignment="1" applyProtection="1">
      <protection hidden="1"/>
    </xf>
    <xf numFmtId="0" fontId="3" fillId="5" borderId="19" xfId="0" applyFont="1" applyFill="1" applyBorder="1" applyProtection="1">
      <protection hidden="1"/>
    </xf>
    <xf numFmtId="0" fontId="21" fillId="5" borderId="19" xfId="2" applyFont="1" applyFill="1" applyBorder="1" applyAlignment="1" applyProtection="1">
      <protection hidden="1"/>
    </xf>
    <xf numFmtId="0" fontId="3" fillId="5" borderId="6" xfId="0" applyFont="1" applyFill="1" applyBorder="1" applyProtection="1">
      <protection hidden="1"/>
    </xf>
    <xf numFmtId="0" fontId="6" fillId="5" borderId="1" xfId="0" applyFont="1" applyFill="1" applyBorder="1" applyProtection="1">
      <protection hidden="1"/>
    </xf>
    <xf numFmtId="0" fontId="0" fillId="5" borderId="17" xfId="0" applyFill="1" applyBorder="1" applyProtection="1">
      <protection hidden="1"/>
    </xf>
    <xf numFmtId="184" fontId="0" fillId="5" borderId="17" xfId="1" applyFont="1" applyFill="1" applyBorder="1" applyProtection="1">
      <protection hidden="1"/>
    </xf>
    <xf numFmtId="0" fontId="0" fillId="5" borderId="3" xfId="0" applyFill="1" applyBorder="1" applyProtection="1">
      <protection hidden="1"/>
    </xf>
    <xf numFmtId="179" fontId="3" fillId="5" borderId="0" xfId="1" applyNumberFormat="1" applyFont="1" applyFill="1" applyBorder="1" applyAlignment="1" applyProtection="1">
      <alignment horizontal="left"/>
      <protection hidden="1"/>
    </xf>
    <xf numFmtId="0" fontId="4" fillId="5" borderId="0" xfId="0" applyFont="1" applyFill="1" applyBorder="1" applyProtection="1">
      <protection hidden="1"/>
    </xf>
    <xf numFmtId="0" fontId="0" fillId="5" borderId="18" xfId="0" applyFill="1" applyBorder="1" applyProtection="1">
      <protection hidden="1"/>
    </xf>
    <xf numFmtId="179" fontId="3" fillId="5" borderId="0" xfId="1" applyNumberFormat="1" applyFont="1" applyFill="1" applyBorder="1" applyAlignment="1" applyProtection="1">
      <protection hidden="1"/>
    </xf>
    <xf numFmtId="184" fontId="3" fillId="5" borderId="0" xfId="1" applyFont="1" applyFill="1" applyBorder="1" applyAlignment="1" applyProtection="1">
      <protection hidden="1"/>
    </xf>
    <xf numFmtId="0" fontId="0" fillId="5" borderId="0" xfId="0" applyFill="1" applyBorder="1" applyAlignment="1" applyProtection="1">
      <protection hidden="1"/>
    </xf>
    <xf numFmtId="0" fontId="0" fillId="5" borderId="18" xfId="0" applyFill="1" applyBorder="1" applyAlignment="1" applyProtection="1">
      <protection hidden="1"/>
    </xf>
    <xf numFmtId="0" fontId="3" fillId="5" borderId="8" xfId="0" applyFont="1" applyFill="1" applyBorder="1" applyAlignment="1" applyProtection="1">
      <protection hidden="1"/>
    </xf>
    <xf numFmtId="0" fontId="0" fillId="5" borderId="19" xfId="0" applyFill="1" applyBorder="1" applyAlignment="1" applyProtection="1">
      <protection hidden="1"/>
    </xf>
    <xf numFmtId="0" fontId="0" fillId="5" borderId="6" xfId="0" applyFill="1" applyBorder="1" applyAlignment="1" applyProtection="1">
      <protection hidden="1"/>
    </xf>
    <xf numFmtId="0" fontId="0" fillId="5" borderId="17" xfId="0" applyFill="1" applyBorder="1" applyAlignment="1" applyProtection="1">
      <protection hidden="1"/>
    </xf>
    <xf numFmtId="0" fontId="0" fillId="5" borderId="3" xfId="0" applyFill="1" applyBorder="1" applyAlignment="1" applyProtection="1">
      <protection hidden="1"/>
    </xf>
    <xf numFmtId="0" fontId="6" fillId="5" borderId="1" xfId="0" applyFont="1" applyFill="1" applyBorder="1" applyAlignment="1" applyProtection="1">
      <alignment vertical="top"/>
      <protection hidden="1"/>
    </xf>
    <xf numFmtId="0" fontId="3" fillId="5" borderId="17" xfId="0" applyFont="1" applyFill="1" applyBorder="1" applyAlignment="1" applyProtection="1">
      <alignment vertical="top"/>
      <protection hidden="1"/>
    </xf>
    <xf numFmtId="0" fontId="3" fillId="5" borderId="3" xfId="0" applyFont="1" applyFill="1" applyBorder="1" applyAlignment="1" applyProtection="1">
      <alignment vertical="top"/>
      <protection hidden="1"/>
    </xf>
    <xf numFmtId="0" fontId="0" fillId="5" borderId="0" xfId="0" applyFill="1" applyAlignment="1">
      <alignment shrinkToFit="1"/>
    </xf>
    <xf numFmtId="0" fontId="0" fillId="5" borderId="0" xfId="0" applyFill="1" applyAlignment="1"/>
    <xf numFmtId="0" fontId="0" fillId="3" borderId="0" xfId="0" applyFill="1" applyBorder="1" applyAlignment="1" applyProtection="1">
      <alignment wrapText="1"/>
      <protection hidden="1"/>
    </xf>
    <xf numFmtId="0" fontId="0" fillId="5" borderId="0" xfId="0" applyFill="1" applyAlignment="1">
      <alignment vertical="top" wrapText="1"/>
    </xf>
    <xf numFmtId="0" fontId="22" fillId="3" borderId="20" xfId="0" applyFont="1" applyFill="1" applyBorder="1" applyProtection="1">
      <protection hidden="1"/>
    </xf>
    <xf numFmtId="0" fontId="0" fillId="3" borderId="0" xfId="0" applyFill="1" applyAlignment="1" applyProtection="1">
      <alignment vertical="top"/>
      <protection hidden="1"/>
    </xf>
    <xf numFmtId="0" fontId="0" fillId="3" borderId="0" xfId="0" applyFill="1" applyBorder="1" applyAlignment="1" applyProtection="1">
      <alignment vertical="top"/>
      <protection hidden="1"/>
    </xf>
    <xf numFmtId="0" fontId="0" fillId="3" borderId="0" xfId="0" applyFill="1" applyBorder="1" applyAlignment="1" applyProtection="1">
      <protection hidden="1"/>
    </xf>
    <xf numFmtId="0" fontId="3" fillId="3" borderId="17" xfId="0" applyFont="1" applyFill="1" applyBorder="1" applyAlignment="1" applyProtection="1">
      <protection hidden="1"/>
    </xf>
    <xf numFmtId="0" fontId="0" fillId="3" borderId="0" xfId="0" applyFill="1" applyAlignment="1" applyProtection="1">
      <alignment wrapText="1"/>
      <protection hidden="1"/>
    </xf>
    <xf numFmtId="0" fontId="20" fillId="5" borderId="8" xfId="0" applyFont="1" applyFill="1" applyBorder="1" applyProtection="1">
      <protection hidden="1"/>
    </xf>
    <xf numFmtId="0" fontId="0" fillId="5" borderId="18" xfId="0" applyFill="1" applyBorder="1" applyAlignment="1" applyProtection="1">
      <alignment vertical="top"/>
      <protection hidden="1"/>
    </xf>
    <xf numFmtId="0" fontId="22" fillId="5" borderId="8" xfId="0" applyFont="1" applyFill="1" applyBorder="1" applyProtection="1">
      <protection hidden="1"/>
    </xf>
    <xf numFmtId="0" fontId="22" fillId="5" borderId="4" xfId="0" applyFont="1" applyFill="1" applyBorder="1" applyProtection="1">
      <protection hidden="1"/>
    </xf>
    <xf numFmtId="0" fontId="22" fillId="5" borderId="19" xfId="0" applyFont="1" applyFill="1" applyBorder="1" applyProtection="1">
      <protection hidden="1"/>
    </xf>
    <xf numFmtId="0" fontId="0" fillId="5" borderId="17" xfId="0" applyFill="1" applyBorder="1" applyAlignment="1" applyProtection="1">
      <alignment wrapText="1"/>
      <protection hidden="1"/>
    </xf>
    <xf numFmtId="0" fontId="0" fillId="5" borderId="3" xfId="0" applyFill="1" applyBorder="1" applyAlignment="1" applyProtection="1">
      <alignment wrapText="1"/>
      <protection hidden="1"/>
    </xf>
    <xf numFmtId="0" fontId="3" fillId="5" borderId="8" xfId="0" quotePrefix="1" applyFont="1" applyFill="1" applyBorder="1" applyProtection="1">
      <protection hidden="1"/>
    </xf>
    <xf numFmtId="0" fontId="16" fillId="5" borderId="8" xfId="0" applyFont="1" applyFill="1" applyBorder="1" applyProtection="1">
      <protection hidden="1"/>
    </xf>
    <xf numFmtId="0" fontId="3" fillId="5" borderId="4" xfId="0" applyFont="1" applyFill="1" applyBorder="1" applyProtection="1">
      <protection hidden="1"/>
    </xf>
    <xf numFmtId="0" fontId="3" fillId="3" borderId="0" xfId="0" applyFont="1" applyFill="1" applyAlignment="1" applyProtection="1">
      <alignment wrapText="1"/>
      <protection hidden="1"/>
    </xf>
    <xf numFmtId="0" fontId="6" fillId="5" borderId="8" xfId="0" applyFont="1" applyFill="1" applyBorder="1" applyProtection="1">
      <protection hidden="1"/>
    </xf>
    <xf numFmtId="0" fontId="0" fillId="5" borderId="18" xfId="0" applyFill="1" applyBorder="1" applyAlignment="1">
      <alignment vertical="top" wrapText="1"/>
    </xf>
    <xf numFmtId="0" fontId="3" fillId="5" borderId="0" xfId="0" applyFont="1" applyFill="1" applyBorder="1" applyAlignment="1" applyProtection="1">
      <alignment wrapText="1"/>
      <protection hidden="1"/>
    </xf>
    <xf numFmtId="0" fontId="3" fillId="5" borderId="0" xfId="0" applyFont="1" applyFill="1" applyBorder="1" applyAlignment="1" applyProtection="1">
      <protection hidden="1"/>
    </xf>
    <xf numFmtId="0" fontId="27" fillId="5" borderId="0" xfId="0" applyFont="1" applyFill="1" applyBorder="1" applyAlignment="1">
      <alignment horizontal="justify" vertical="top" wrapText="1"/>
    </xf>
    <xf numFmtId="0" fontId="27" fillId="5" borderId="18" xfId="0" applyFont="1" applyFill="1" applyBorder="1" applyAlignment="1">
      <alignment horizontal="justify" vertical="top" wrapText="1"/>
    </xf>
    <xf numFmtId="0" fontId="27" fillId="5" borderId="17" xfId="0" applyFont="1" applyFill="1" applyBorder="1" applyAlignment="1">
      <alignment horizontal="justify" vertical="top" wrapText="1"/>
    </xf>
    <xf numFmtId="0" fontId="27" fillId="5" borderId="3" xfId="0" applyFont="1" applyFill="1" applyBorder="1" applyAlignment="1">
      <alignment horizontal="justify" vertical="top" wrapText="1"/>
    </xf>
    <xf numFmtId="0" fontId="3" fillId="5" borderId="17" xfId="0" applyFont="1" applyFill="1" applyBorder="1" applyAlignment="1" applyProtection="1">
      <alignment wrapText="1"/>
      <protection hidden="1"/>
    </xf>
    <xf numFmtId="0" fontId="3" fillId="5" borderId="3" xfId="0" applyFont="1" applyFill="1" applyBorder="1" applyAlignment="1" applyProtection="1">
      <alignment wrapText="1"/>
      <protection hidden="1"/>
    </xf>
    <xf numFmtId="0" fontId="0" fillId="5" borderId="4" xfId="0" applyFill="1" applyBorder="1" applyAlignment="1">
      <alignment vertical="center"/>
    </xf>
    <xf numFmtId="0" fontId="0" fillId="5" borderId="19" xfId="0" applyFill="1" applyBorder="1" applyAlignment="1">
      <alignment vertical="center"/>
    </xf>
    <xf numFmtId="0" fontId="29" fillId="5" borderId="17" xfId="0" applyFont="1" applyFill="1" applyBorder="1" applyAlignment="1" applyProtection="1">
      <alignment horizontal="center"/>
    </xf>
    <xf numFmtId="0" fontId="20" fillId="0" borderId="0" xfId="0" applyFont="1" applyFill="1" applyAlignment="1" applyProtection="1">
      <alignment horizontal="right"/>
    </xf>
    <xf numFmtId="0" fontId="20" fillId="5" borderId="0" xfId="0" applyFont="1" applyFill="1" applyBorder="1" applyProtection="1">
      <protection hidden="1"/>
    </xf>
    <xf numFmtId="0" fontId="30" fillId="5" borderId="8" xfId="0" applyFont="1" applyFill="1" applyBorder="1" applyProtection="1">
      <protection hidden="1"/>
    </xf>
    <xf numFmtId="0" fontId="22" fillId="3" borderId="0" xfId="0" applyFont="1" applyFill="1" applyAlignment="1" applyProtection="1">
      <alignment vertical="top"/>
      <protection hidden="1"/>
    </xf>
    <xf numFmtId="0" fontId="0" fillId="3" borderId="0" xfId="0" applyFill="1" applyBorder="1" applyAlignment="1" applyProtection="1">
      <alignment horizontal="justify" vertical="top" wrapText="1"/>
      <protection hidden="1"/>
    </xf>
    <xf numFmtId="0" fontId="6" fillId="5" borderId="7" xfId="0" applyFont="1" applyFill="1" applyBorder="1" applyAlignment="1" applyProtection="1">
      <alignment horizontal="centerContinuous" vertical="center"/>
      <protection hidden="1"/>
    </xf>
    <xf numFmtId="0" fontId="0" fillId="5" borderId="7" xfId="0" applyFill="1" applyBorder="1" applyAlignment="1" applyProtection="1">
      <alignment horizontal="centerContinuous" vertical="center"/>
      <protection hidden="1"/>
    </xf>
    <xf numFmtId="0" fontId="0" fillId="5" borderId="21" xfId="0" applyFill="1" applyBorder="1" applyAlignment="1" applyProtection="1">
      <alignment horizontal="centerContinuous" vertical="center"/>
      <protection hidden="1"/>
    </xf>
    <xf numFmtId="0" fontId="0" fillId="5" borderId="1" xfId="0" applyFill="1" applyBorder="1" applyAlignment="1" applyProtection="1">
      <alignment horizontal="centerContinuous" vertical="center"/>
      <protection hidden="1"/>
    </xf>
    <xf numFmtId="0" fontId="6" fillId="5" borderId="7" xfId="0" applyFont="1" applyFill="1" applyBorder="1" applyAlignment="1" applyProtection="1">
      <alignment horizontal="center" vertical="center"/>
      <protection hidden="1"/>
    </xf>
    <xf numFmtId="0" fontId="0" fillId="5" borderId="22" xfId="0" applyFill="1" applyBorder="1" applyAlignment="1" applyProtection="1">
      <alignment horizontal="centerContinuous"/>
      <protection hidden="1"/>
    </xf>
    <xf numFmtId="0" fontId="4" fillId="2" borderId="0" xfId="0" applyFont="1" applyFill="1" applyAlignment="1">
      <alignment horizontal="right"/>
    </xf>
    <xf numFmtId="0" fontId="15" fillId="0" borderId="23" xfId="0" applyFont="1" applyFill="1" applyBorder="1" applyAlignment="1" applyProtection="1">
      <alignment horizontal="left" vertical="center" wrapText="1" indent="1"/>
      <protection locked="0"/>
    </xf>
    <xf numFmtId="0" fontId="15" fillId="0" borderId="24" xfId="0" applyFont="1" applyFill="1" applyBorder="1" applyAlignment="1" applyProtection="1">
      <alignment horizontal="left" vertical="center" wrapText="1" indent="1"/>
      <protection locked="0"/>
    </xf>
    <xf numFmtId="0" fontId="15" fillId="0" borderId="22" xfId="0" applyFont="1" applyFill="1" applyBorder="1" applyAlignment="1" applyProtection="1">
      <alignment horizontal="left" vertical="center" wrapText="1" indent="1"/>
      <protection locked="0"/>
    </xf>
    <xf numFmtId="14" fontId="15" fillId="5" borderId="7" xfId="0" applyNumberFormat="1" applyFont="1" applyFill="1" applyBorder="1" applyAlignment="1" applyProtection="1">
      <alignment horizontal="center" vertical="center"/>
      <protection hidden="1"/>
    </xf>
    <xf numFmtId="49" fontId="15" fillId="5" borderId="7" xfId="0" applyNumberFormat="1" applyFont="1" applyFill="1" applyBorder="1" applyAlignment="1" applyProtection="1">
      <alignment horizontal="center" vertical="center"/>
      <protection hidden="1"/>
    </xf>
    <xf numFmtId="0" fontId="15" fillId="5" borderId="7" xfId="0" applyFont="1" applyFill="1" applyBorder="1" applyAlignment="1" applyProtection="1">
      <alignment horizontal="center" vertical="center"/>
      <protection hidden="1"/>
    </xf>
    <xf numFmtId="0" fontId="3" fillId="5" borderId="18" xfId="0" applyFont="1" applyFill="1" applyBorder="1" applyAlignment="1" applyProtection="1">
      <alignment wrapText="1"/>
      <protection hidden="1"/>
    </xf>
    <xf numFmtId="0" fontId="0" fillId="5" borderId="0" xfId="0" applyFill="1" applyBorder="1"/>
    <xf numFmtId="0" fontId="0" fillId="5" borderId="18" xfId="0" applyFill="1" applyBorder="1"/>
    <xf numFmtId="0" fontId="3" fillId="2" borderId="0" xfId="0" applyFont="1" applyFill="1" applyAlignment="1">
      <alignment horizontal="right"/>
    </xf>
    <xf numFmtId="0" fontId="10" fillId="2" borderId="0" xfId="0" applyFont="1" applyFill="1" applyAlignment="1">
      <alignment horizontal="right"/>
    </xf>
    <xf numFmtId="190" fontId="27" fillId="0" borderId="7" xfId="0" applyNumberFormat="1" applyFont="1" applyFill="1" applyBorder="1" applyAlignment="1" applyProtection="1">
      <alignment horizontal="center" vertical="center" shrinkToFit="1"/>
      <protection locked="0"/>
    </xf>
    <xf numFmtId="0" fontId="27" fillId="0" borderId="23" xfId="0" applyFont="1" applyFill="1" applyBorder="1" applyAlignment="1" applyProtection="1">
      <alignment horizontal="center" vertical="center"/>
      <protection locked="0"/>
    </xf>
    <xf numFmtId="0" fontId="27" fillId="0" borderId="25" xfId="0" applyFont="1" applyFill="1" applyBorder="1" applyAlignment="1" applyProtection="1">
      <alignment horizontal="center" vertical="center"/>
      <protection locked="0"/>
    </xf>
    <xf numFmtId="0" fontId="27" fillId="0" borderId="7" xfId="0" applyFont="1" applyFill="1" applyBorder="1" applyAlignment="1" applyProtection="1">
      <alignment horizontal="center" vertical="center" shrinkToFit="1"/>
      <protection locked="0"/>
    </xf>
    <xf numFmtId="194" fontId="27" fillId="0" borderId="7" xfId="0" applyNumberFormat="1" applyFont="1" applyFill="1" applyBorder="1" applyAlignment="1" applyProtection="1">
      <alignment horizontal="center" vertical="center" shrinkToFit="1"/>
      <protection hidden="1"/>
    </xf>
    <xf numFmtId="193" fontId="27" fillId="0" borderId="7" xfId="0" applyNumberFormat="1" applyFont="1" applyFill="1" applyBorder="1" applyAlignment="1" applyProtection="1">
      <alignment horizontal="center" vertical="center" shrinkToFit="1"/>
      <protection hidden="1"/>
    </xf>
    <xf numFmtId="0" fontId="27" fillId="0" borderId="7" xfId="0" applyFont="1" applyFill="1" applyBorder="1" applyAlignment="1" applyProtection="1">
      <alignment horizontal="center" vertical="center"/>
      <protection locked="0"/>
    </xf>
    <xf numFmtId="0" fontId="27" fillId="0" borderId="23" xfId="0" applyFont="1" applyFill="1" applyBorder="1" applyAlignment="1" applyProtection="1">
      <alignment horizontal="center" vertical="center" shrinkToFit="1"/>
      <protection locked="0"/>
    </xf>
    <xf numFmtId="0" fontId="27" fillId="0" borderId="26" xfId="0" applyFont="1" applyFill="1" applyBorder="1" applyAlignment="1" applyProtection="1">
      <alignment horizontal="center" vertical="center" shrinkToFit="1"/>
      <protection locked="0"/>
    </xf>
    <xf numFmtId="0" fontId="27" fillId="0" borderId="22" xfId="0" applyFont="1" applyFill="1" applyBorder="1" applyAlignment="1" applyProtection="1">
      <alignment horizontal="center" vertical="center" shrinkToFit="1"/>
      <protection locked="0"/>
    </xf>
    <xf numFmtId="49" fontId="27" fillId="0" borderId="27" xfId="0" applyNumberFormat="1" applyFont="1" applyFill="1" applyBorder="1" applyAlignment="1" applyProtection="1">
      <alignment wrapText="1"/>
      <protection locked="0"/>
    </xf>
    <xf numFmtId="49" fontId="27" fillId="0" borderId="27" xfId="0" applyNumberFormat="1" applyFont="1" applyFill="1" applyBorder="1" applyAlignment="1" applyProtection="1">
      <alignment horizontal="center" wrapText="1"/>
      <protection locked="0"/>
    </xf>
    <xf numFmtId="191" fontId="27" fillId="0" borderId="23" xfId="0" applyNumberFormat="1" applyFont="1" applyFill="1" applyBorder="1" applyAlignment="1" applyProtection="1">
      <alignment horizontal="center"/>
      <protection locked="0"/>
    </xf>
    <xf numFmtId="190" fontId="27" fillId="0" borderId="28" xfId="0" applyNumberFormat="1" applyFont="1" applyFill="1" applyBorder="1" applyAlignment="1" applyProtection="1">
      <alignment horizontal="center"/>
      <protection locked="0"/>
    </xf>
    <xf numFmtId="49" fontId="27" fillId="0" borderId="7" xfId="0" applyNumberFormat="1" applyFont="1" applyFill="1" applyBorder="1" applyAlignment="1" applyProtection="1">
      <alignment horizontal="center"/>
      <protection locked="0"/>
    </xf>
    <xf numFmtId="190" fontId="27" fillId="0" borderId="7" xfId="0" applyNumberFormat="1" applyFont="1" applyFill="1" applyBorder="1" applyAlignment="1" applyProtection="1">
      <alignment horizontal="center" vertical="center" shrinkToFit="1"/>
      <protection hidden="1"/>
    </xf>
    <xf numFmtId="0" fontId="27" fillId="0" borderId="23" xfId="0" applyFont="1" applyFill="1" applyBorder="1" applyAlignment="1" applyProtection="1">
      <alignment horizontal="center" vertical="center"/>
      <protection hidden="1"/>
    </xf>
    <xf numFmtId="0" fontId="27" fillId="0" borderId="25" xfId="0" applyFont="1" applyFill="1" applyBorder="1" applyAlignment="1" applyProtection="1">
      <alignment horizontal="center" vertical="center"/>
      <protection hidden="1"/>
    </xf>
    <xf numFmtId="0" fontId="27" fillId="0" borderId="7" xfId="0" applyFont="1" applyFill="1" applyBorder="1" applyAlignment="1" applyProtection="1">
      <alignment horizontal="center" vertical="center" shrinkToFit="1"/>
      <protection hidden="1"/>
    </xf>
    <xf numFmtId="0" fontId="27" fillId="0" borderId="7" xfId="0" applyFont="1" applyFill="1" applyBorder="1" applyAlignment="1" applyProtection="1">
      <alignment horizontal="center" vertical="center"/>
      <protection hidden="1"/>
    </xf>
    <xf numFmtId="0" fontId="27" fillId="0" borderId="23" xfId="0" applyFont="1" applyFill="1" applyBorder="1" applyAlignment="1" applyProtection="1">
      <alignment horizontal="center" vertical="center" shrinkToFit="1"/>
      <protection hidden="1"/>
    </xf>
    <xf numFmtId="0" fontId="27" fillId="0" borderId="26" xfId="0" applyFont="1" applyFill="1" applyBorder="1" applyAlignment="1" applyProtection="1">
      <alignment horizontal="center" vertical="center" shrinkToFit="1"/>
      <protection hidden="1"/>
    </xf>
    <xf numFmtId="0" fontId="27" fillId="0" borderId="22" xfId="0" applyFont="1" applyFill="1" applyBorder="1" applyAlignment="1" applyProtection="1">
      <alignment horizontal="center" vertical="center" shrinkToFit="1"/>
      <protection hidden="1"/>
    </xf>
    <xf numFmtId="49" fontId="27" fillId="0" borderId="27" xfId="0" applyNumberFormat="1" applyFont="1" applyFill="1" applyBorder="1" applyAlignment="1" applyProtection="1">
      <alignment wrapText="1"/>
      <protection hidden="1"/>
    </xf>
    <xf numFmtId="49" fontId="27" fillId="0" borderId="27" xfId="0" applyNumberFormat="1" applyFont="1" applyFill="1" applyBorder="1" applyAlignment="1" applyProtection="1">
      <alignment horizontal="center" wrapText="1"/>
      <protection hidden="1"/>
    </xf>
    <xf numFmtId="191" fontId="27" fillId="0" borderId="23" xfId="0" applyNumberFormat="1" applyFont="1" applyFill="1" applyBorder="1" applyAlignment="1" applyProtection="1">
      <alignment horizontal="center"/>
      <protection hidden="1"/>
    </xf>
    <xf numFmtId="190" fontId="27" fillId="0" borderId="28" xfId="0" applyNumberFormat="1" applyFont="1" applyFill="1" applyBorder="1" applyAlignment="1" applyProtection="1">
      <alignment horizontal="center"/>
      <protection hidden="1"/>
    </xf>
    <xf numFmtId="49" fontId="27" fillId="0" borderId="7" xfId="0" applyNumberFormat="1" applyFont="1" applyFill="1" applyBorder="1" applyAlignment="1" applyProtection="1">
      <alignment horizontal="center"/>
      <protection hidden="1"/>
    </xf>
    <xf numFmtId="0" fontId="6" fillId="5" borderId="8" xfId="0" applyFont="1" applyFill="1" applyBorder="1"/>
    <xf numFmtId="0" fontId="3" fillId="5" borderId="18" xfId="0" applyFont="1" applyFill="1" applyBorder="1" applyAlignment="1" applyProtection="1">
      <alignment vertical="top" wrapText="1"/>
      <protection hidden="1"/>
    </xf>
    <xf numFmtId="0" fontId="3" fillId="5" borderId="0" xfId="0" applyFont="1" applyFill="1" applyBorder="1" applyAlignment="1" applyProtection="1">
      <alignment vertical="top" wrapText="1"/>
      <protection hidden="1"/>
    </xf>
    <xf numFmtId="0" fontId="31" fillId="5" borderId="1" xfId="0" applyFont="1" applyFill="1" applyBorder="1" applyAlignment="1" applyProtection="1">
      <alignment horizontal="centerContinuous"/>
      <protection hidden="1"/>
    </xf>
    <xf numFmtId="0" fontId="31" fillId="5" borderId="17" xfId="0" applyFont="1" applyFill="1" applyBorder="1" applyAlignment="1" applyProtection="1">
      <alignment horizontal="centerContinuous"/>
      <protection hidden="1"/>
    </xf>
    <xf numFmtId="0" fontId="31" fillId="5" borderId="3" xfId="0" applyFont="1" applyFill="1" applyBorder="1" applyAlignment="1" applyProtection="1">
      <alignment horizontal="centerContinuous"/>
      <protection hidden="1"/>
    </xf>
    <xf numFmtId="0" fontId="31" fillId="5" borderId="8" xfId="0" applyFont="1" applyFill="1" applyBorder="1" applyAlignment="1" applyProtection="1">
      <alignment horizontal="centerContinuous"/>
      <protection hidden="1"/>
    </xf>
    <xf numFmtId="0" fontId="31" fillId="5" borderId="0" xfId="0" applyFont="1" applyFill="1" applyBorder="1" applyAlignment="1" applyProtection="1">
      <alignment horizontal="centerContinuous"/>
      <protection hidden="1"/>
    </xf>
    <xf numFmtId="0" fontId="31" fillId="5" borderId="18" xfId="0" applyFont="1" applyFill="1" applyBorder="1" applyAlignment="1" applyProtection="1">
      <alignment horizontal="centerContinuous"/>
      <protection hidden="1"/>
    </xf>
    <xf numFmtId="0" fontId="32" fillId="5" borderId="8" xfId="0" applyFont="1" applyFill="1" applyBorder="1" applyProtection="1">
      <protection hidden="1"/>
    </xf>
    <xf numFmtId="0" fontId="1" fillId="5" borderId="0" xfId="0" applyFont="1" applyFill="1" applyBorder="1" applyProtection="1">
      <protection hidden="1"/>
    </xf>
    <xf numFmtId="0" fontId="1" fillId="5" borderId="18" xfId="0" applyFont="1" applyFill="1" applyBorder="1" applyProtection="1">
      <protection hidden="1"/>
    </xf>
    <xf numFmtId="0" fontId="0" fillId="5" borderId="8" xfId="0" applyFill="1" applyBorder="1" applyProtection="1">
      <protection hidden="1"/>
    </xf>
    <xf numFmtId="0" fontId="33" fillId="5" borderId="8" xfId="0" applyFont="1" applyFill="1" applyBorder="1" applyAlignment="1" applyProtection="1">
      <alignment horizontal="centerContinuous"/>
      <protection hidden="1"/>
    </xf>
    <xf numFmtId="0" fontId="0" fillId="5" borderId="0" xfId="0" applyFill="1" applyBorder="1" applyAlignment="1" applyProtection="1">
      <alignment horizontal="centerContinuous"/>
      <protection hidden="1"/>
    </xf>
    <xf numFmtId="0" fontId="0" fillId="5" borderId="18" xfId="0" applyFill="1" applyBorder="1" applyAlignment="1" applyProtection="1">
      <alignment horizontal="centerContinuous"/>
      <protection hidden="1"/>
    </xf>
    <xf numFmtId="0" fontId="34" fillId="5" borderId="8" xfId="0" applyFont="1" applyFill="1" applyBorder="1" applyAlignment="1" applyProtection="1">
      <alignment horizontal="centerContinuous"/>
      <protection hidden="1"/>
    </xf>
    <xf numFmtId="0" fontId="3" fillId="5" borderId="8" xfId="0" applyFont="1" applyFill="1" applyBorder="1" applyAlignment="1" applyProtection="1">
      <alignment horizontal="centerContinuous"/>
      <protection hidden="1"/>
    </xf>
    <xf numFmtId="0" fontId="0" fillId="5" borderId="8" xfId="0" applyFill="1" applyBorder="1" applyAlignment="1" applyProtection="1">
      <alignment horizontal="center" vertical="top" wrapText="1"/>
      <protection hidden="1"/>
    </xf>
    <xf numFmtId="0" fontId="0" fillId="5" borderId="0" xfId="0" applyFill="1" applyAlignment="1" applyProtection="1">
      <alignment horizontal="center" vertical="top" wrapText="1"/>
      <protection hidden="1"/>
    </xf>
    <xf numFmtId="0" fontId="0" fillId="5" borderId="18" xfId="0" applyFill="1" applyBorder="1" applyAlignment="1" applyProtection="1">
      <alignment horizontal="center" vertical="top" wrapText="1"/>
      <protection hidden="1"/>
    </xf>
    <xf numFmtId="0" fontId="32" fillId="5" borderId="8" xfId="0" applyFont="1" applyFill="1" applyBorder="1" applyAlignment="1" applyProtection="1">
      <alignment horizontal="centerContinuous"/>
      <protection hidden="1"/>
    </xf>
    <xf numFmtId="0" fontId="0" fillId="5" borderId="4" xfId="0" applyFill="1" applyBorder="1" applyProtection="1">
      <protection hidden="1"/>
    </xf>
    <xf numFmtId="0" fontId="0" fillId="5" borderId="19" xfId="0" applyFill="1" applyBorder="1" applyProtection="1">
      <protection hidden="1"/>
    </xf>
    <xf numFmtId="0" fontId="0" fillId="5" borderId="6" xfId="0" applyFill="1" applyBorder="1" applyProtection="1">
      <protection hidden="1"/>
    </xf>
    <xf numFmtId="0" fontId="0" fillId="5" borderId="0" xfId="0" applyFill="1" applyBorder="1" applyAlignment="1">
      <alignment vertical="top" wrapText="1"/>
    </xf>
    <xf numFmtId="0" fontId="6" fillId="5" borderId="8" xfId="0" applyFont="1" applyFill="1" applyBorder="1" applyAlignment="1">
      <alignment vertical="top" wrapText="1"/>
    </xf>
    <xf numFmtId="0" fontId="25" fillId="0" borderId="19" xfId="0" applyFont="1" applyFill="1" applyBorder="1" applyAlignment="1" applyProtection="1">
      <alignment horizontal="center" vertical="center"/>
      <protection hidden="1"/>
    </xf>
    <xf numFmtId="0" fontId="6" fillId="5" borderId="23" xfId="0" applyFont="1" applyFill="1" applyBorder="1" applyAlignment="1" applyProtection="1">
      <alignment vertical="center"/>
      <protection hidden="1"/>
    </xf>
    <xf numFmtId="0" fontId="2" fillId="5" borderId="20" xfId="0" applyFont="1" applyFill="1" applyBorder="1" applyAlignment="1" applyProtection="1">
      <alignment horizontal="right" vertical="center"/>
      <protection hidden="1"/>
    </xf>
    <xf numFmtId="0" fontId="3" fillId="5" borderId="20" xfId="0" applyFont="1" applyFill="1" applyBorder="1" applyAlignment="1" applyProtection="1">
      <alignment vertical="center"/>
      <protection hidden="1"/>
    </xf>
    <xf numFmtId="0" fontId="0" fillId="5" borderId="20" xfId="0" applyFill="1" applyBorder="1" applyAlignment="1" applyProtection="1">
      <alignment vertical="center"/>
      <protection hidden="1"/>
    </xf>
    <xf numFmtId="0" fontId="3" fillId="5" borderId="22" xfId="0" applyFont="1" applyFill="1" applyBorder="1" applyAlignment="1" applyProtection="1">
      <alignment vertical="center"/>
      <protection hidden="1"/>
    </xf>
    <xf numFmtId="0" fontId="3" fillId="3" borderId="0" xfId="0" applyFont="1" applyFill="1" applyAlignment="1" applyProtection="1">
      <alignment vertical="center"/>
      <protection hidden="1"/>
    </xf>
    <xf numFmtId="0" fontId="0" fillId="0" borderId="0" xfId="0" applyFill="1" applyAlignment="1" applyProtection="1">
      <alignment vertical="center"/>
      <protection hidden="1"/>
    </xf>
    <xf numFmtId="191" fontId="0" fillId="0" borderId="9" xfId="0" applyNumberFormat="1" applyFill="1" applyBorder="1" applyAlignment="1" applyProtection="1">
      <alignment horizontal="center" vertical="center"/>
      <protection hidden="1"/>
    </xf>
    <xf numFmtId="190" fontId="0" fillId="0" borderId="9" xfId="0" applyNumberFormat="1" applyFill="1" applyBorder="1" applyAlignment="1" applyProtection="1">
      <alignment horizontal="center" vertical="center"/>
      <protection hidden="1"/>
    </xf>
    <xf numFmtId="0" fontId="0" fillId="0" borderId="9" xfId="0" applyFill="1" applyBorder="1" applyAlignment="1" applyProtection="1">
      <alignment horizontal="center" vertical="center"/>
      <protection hidden="1"/>
    </xf>
    <xf numFmtId="0" fontId="0" fillId="0" borderId="29" xfId="0" applyFill="1" applyBorder="1" applyAlignment="1" applyProtection="1">
      <alignment horizontal="center" shrinkToFit="1"/>
      <protection hidden="1"/>
    </xf>
    <xf numFmtId="0" fontId="6" fillId="0" borderId="9" xfId="0" applyFont="1" applyFill="1" applyBorder="1" applyAlignment="1" applyProtection="1">
      <alignment horizontal="centerContinuous" vertical="center"/>
      <protection hidden="1"/>
    </xf>
    <xf numFmtId="0" fontId="0" fillId="0" borderId="9" xfId="0" applyFill="1" applyBorder="1" applyAlignment="1" applyProtection="1">
      <alignment horizontal="centerContinuous"/>
      <protection hidden="1"/>
    </xf>
    <xf numFmtId="0" fontId="6" fillId="0" borderId="9" xfId="0" applyFont="1" applyFill="1" applyBorder="1" applyAlignment="1" applyProtection="1">
      <alignment horizontal="centerContinuous" vertical="top" wrapText="1"/>
      <protection hidden="1"/>
    </xf>
    <xf numFmtId="196" fontId="0" fillId="0" borderId="9" xfId="0" applyNumberFormat="1" applyFill="1" applyBorder="1" applyAlignment="1" applyProtection="1">
      <alignment horizontal="center" vertical="center"/>
      <protection hidden="1"/>
    </xf>
    <xf numFmtId="194" fontId="0" fillId="0" borderId="9" xfId="0" applyNumberFormat="1" applyFill="1" applyBorder="1" applyAlignment="1" applyProtection="1">
      <alignment horizontal="center" vertical="center"/>
      <protection hidden="1"/>
    </xf>
    <xf numFmtId="188" fontId="0" fillId="0" borderId="9" xfId="0" applyNumberFormat="1" applyFill="1" applyBorder="1" applyAlignment="1" applyProtection="1">
      <alignment vertical="center" shrinkToFit="1"/>
      <protection hidden="1"/>
    </xf>
    <xf numFmtId="198" fontId="0" fillId="0" borderId="9" xfId="0" applyNumberFormat="1" applyFill="1" applyBorder="1" applyAlignment="1" applyProtection="1">
      <alignment vertical="center" shrinkToFit="1"/>
      <protection hidden="1"/>
    </xf>
    <xf numFmtId="1" fontId="0" fillId="0" borderId="9" xfId="0" applyNumberFormat="1" applyFill="1" applyBorder="1" applyAlignment="1" applyProtection="1">
      <alignment vertical="center" shrinkToFit="1"/>
      <protection locked="0" hidden="1"/>
    </xf>
    <xf numFmtId="0" fontId="4" fillId="0" borderId="0" xfId="0" applyFont="1" applyFill="1" applyProtection="1">
      <protection hidden="1"/>
    </xf>
    <xf numFmtId="0" fontId="6" fillId="5" borderId="8" xfId="0" applyFont="1" applyFill="1" applyBorder="1" applyAlignment="1">
      <alignment vertical="top"/>
    </xf>
    <xf numFmtId="0" fontId="0" fillId="3" borderId="0" xfId="0" applyFill="1" applyBorder="1" applyAlignment="1">
      <alignment vertical="top" wrapText="1"/>
    </xf>
    <xf numFmtId="0" fontId="0" fillId="5" borderId="0" xfId="0" applyFill="1" applyBorder="1" applyAlignment="1">
      <alignment vertical="top"/>
    </xf>
    <xf numFmtId="0" fontId="0" fillId="3" borderId="0" xfId="0" applyFill="1" applyBorder="1" applyAlignment="1">
      <alignment vertical="top"/>
    </xf>
    <xf numFmtId="0" fontId="0" fillId="5" borderId="17" xfId="0" applyFill="1" applyBorder="1" applyAlignment="1">
      <alignment vertical="top"/>
    </xf>
    <xf numFmtId="0" fontId="0" fillId="5" borderId="3" xfId="0" applyFill="1" applyBorder="1" applyAlignment="1">
      <alignment vertical="top"/>
    </xf>
    <xf numFmtId="0" fontId="0" fillId="5" borderId="18" xfId="0" applyFill="1" applyBorder="1" applyAlignment="1">
      <alignment vertical="top"/>
    </xf>
    <xf numFmtId="0" fontId="0" fillId="5" borderId="19" xfId="0" applyFill="1" applyBorder="1" applyAlignment="1">
      <alignment vertical="top"/>
    </xf>
    <xf numFmtId="0" fontId="0" fillId="5" borderId="6" xfId="0" applyFill="1" applyBorder="1" applyAlignment="1">
      <alignment vertical="top"/>
    </xf>
    <xf numFmtId="0" fontId="0" fillId="5" borderId="4" xfId="0" applyFill="1" applyBorder="1" applyAlignment="1">
      <alignment vertical="top"/>
    </xf>
    <xf numFmtId="0" fontId="3" fillId="5" borderId="0" xfId="0" applyFont="1" applyFill="1" applyBorder="1" applyAlignment="1">
      <alignment horizontal="justify" vertical="top" wrapText="1"/>
    </xf>
    <xf numFmtId="0" fontId="3" fillId="5" borderId="18" xfId="0" applyFont="1" applyFill="1" applyBorder="1" applyAlignment="1">
      <alignment horizontal="justify" vertical="top" wrapText="1"/>
    </xf>
    <xf numFmtId="0" fontId="3" fillId="5" borderId="19" xfId="0" applyFont="1" applyFill="1" applyBorder="1" applyAlignment="1">
      <alignment horizontal="justify" vertical="top" wrapText="1"/>
    </xf>
    <xf numFmtId="0" fontId="3" fillId="5" borderId="6" xfId="0" applyFont="1" applyFill="1" applyBorder="1" applyAlignment="1">
      <alignment horizontal="justify" vertical="top" wrapText="1"/>
    </xf>
    <xf numFmtId="0" fontId="3" fillId="5" borderId="4" xfId="0" applyFont="1" applyFill="1" applyBorder="1" applyAlignment="1">
      <alignment horizontal="justify" vertical="top"/>
    </xf>
    <xf numFmtId="0" fontId="6" fillId="5" borderId="1" xfId="0" applyFont="1" applyFill="1" applyBorder="1" applyAlignment="1"/>
    <xf numFmtId="0" fontId="0" fillId="5" borderId="8" xfId="0" applyFill="1" applyBorder="1" applyAlignment="1"/>
    <xf numFmtId="0" fontId="6" fillId="5" borderId="8" xfId="0" applyFont="1" applyFill="1" applyBorder="1" applyAlignment="1"/>
    <xf numFmtId="0" fontId="6" fillId="5" borderId="8" xfId="0" applyFont="1" applyFill="1" applyBorder="1" applyAlignment="1">
      <alignment wrapText="1"/>
    </xf>
    <xf numFmtId="0" fontId="3" fillId="5" borderId="4" xfId="0" applyFont="1" applyFill="1" applyBorder="1" applyAlignment="1"/>
    <xf numFmtId="0" fontId="3" fillId="5" borderId="8" xfId="0" applyFont="1" applyFill="1" applyBorder="1" applyAlignment="1"/>
    <xf numFmtId="0" fontId="3" fillId="2" borderId="10" xfId="0" applyFont="1" applyFill="1" applyBorder="1" applyAlignment="1" applyProtection="1">
      <alignment horizontal="center" vertical="center"/>
      <protection locked="0" hidden="1"/>
    </xf>
    <xf numFmtId="0" fontId="23" fillId="2" borderId="0" xfId="0" applyFont="1" applyFill="1" applyAlignment="1" applyProtection="1">
      <alignment horizontal="center"/>
      <protection hidden="1"/>
    </xf>
    <xf numFmtId="0" fontId="3" fillId="2" borderId="20" xfId="0" applyFont="1" applyFill="1" applyBorder="1" applyProtection="1">
      <protection hidden="1"/>
    </xf>
    <xf numFmtId="0" fontId="3" fillId="2" borderId="0" xfId="0" applyFont="1" applyFill="1" applyBorder="1" applyProtection="1">
      <protection hidden="1"/>
    </xf>
    <xf numFmtId="0" fontId="6" fillId="2" borderId="0" xfId="0" applyFont="1" applyFill="1" applyBorder="1" applyProtection="1">
      <protection hidden="1"/>
    </xf>
    <xf numFmtId="0" fontId="36" fillId="6" borderId="0" xfId="0" applyFont="1" applyFill="1"/>
    <xf numFmtId="0" fontId="37" fillId="6" borderId="0" xfId="0" applyFont="1" applyFill="1"/>
    <xf numFmtId="0" fontId="38" fillId="6" borderId="0" xfId="0" applyFont="1" applyFill="1"/>
    <xf numFmtId="0" fontId="39" fillId="6" borderId="0" xfId="0" applyFont="1" applyFill="1"/>
    <xf numFmtId="0" fontId="40" fillId="6" borderId="0" xfId="0" applyFont="1" applyFill="1"/>
    <xf numFmtId="0" fontId="32" fillId="5" borderId="7" xfId="0" applyFont="1" applyFill="1" applyBorder="1" applyAlignment="1">
      <alignment horizontal="centerContinuous"/>
    </xf>
    <xf numFmtId="0" fontId="0" fillId="5" borderId="7" xfId="0" applyFill="1" applyBorder="1" applyAlignment="1">
      <alignment horizontal="centerContinuous"/>
    </xf>
    <xf numFmtId="0" fontId="6" fillId="5" borderId="30" xfId="0" applyFont="1" applyFill="1" applyBorder="1" applyAlignment="1">
      <alignment horizontal="center" vertical="center" shrinkToFit="1"/>
    </xf>
    <xf numFmtId="0" fontId="6" fillId="5" borderId="28" xfId="0" applyFont="1" applyFill="1" applyBorder="1" applyAlignment="1">
      <alignment horizontal="centerContinuous" vertical="center"/>
    </xf>
    <xf numFmtId="0" fontId="0" fillId="5" borderId="7" xfId="0" applyFill="1" applyBorder="1" applyAlignment="1">
      <alignment horizontal="centerContinuous" vertical="center"/>
    </xf>
    <xf numFmtId="0" fontId="0" fillId="5" borderId="23" xfId="0" applyFill="1" applyBorder="1" applyAlignment="1">
      <alignment horizontal="centerContinuous" vertical="center"/>
    </xf>
    <xf numFmtId="0" fontId="10" fillId="5" borderId="23"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3" fillId="5" borderId="31" xfId="0" applyFont="1" applyFill="1" applyBorder="1" applyAlignment="1">
      <alignment horizontal="center" vertical="center" shrinkToFit="1"/>
    </xf>
    <xf numFmtId="0" fontId="3" fillId="5" borderId="32" xfId="0" applyFont="1" applyFill="1" applyBorder="1" applyAlignment="1">
      <alignment horizontal="center" vertical="center" shrinkToFit="1"/>
    </xf>
    <xf numFmtId="0" fontId="0" fillId="5" borderId="4" xfId="0" applyFill="1" applyBorder="1" applyAlignment="1">
      <alignment horizontal="center" vertical="center"/>
    </xf>
    <xf numFmtId="0" fontId="0" fillId="6" borderId="33" xfId="0" applyFill="1" applyBorder="1" applyAlignment="1">
      <alignment horizontal="center" vertical="center"/>
    </xf>
    <xf numFmtId="0" fontId="0" fillId="6" borderId="34" xfId="0" applyFill="1" applyBorder="1" applyAlignment="1">
      <alignment horizontal="center" vertical="center"/>
    </xf>
    <xf numFmtId="0" fontId="0" fillId="6" borderId="4" xfId="0" applyFill="1" applyBorder="1" applyAlignment="1">
      <alignment horizontal="center" vertical="center"/>
    </xf>
    <xf numFmtId="0" fontId="0" fillId="5" borderId="23" xfId="0" applyFill="1" applyBorder="1" applyAlignment="1">
      <alignment horizontal="center" vertical="center"/>
    </xf>
    <xf numFmtId="0" fontId="0" fillId="6" borderId="28" xfId="0" applyFill="1" applyBorder="1" applyAlignment="1">
      <alignment horizontal="center" vertical="center"/>
    </xf>
    <xf numFmtId="0" fontId="0" fillId="6" borderId="7" xfId="0" applyFill="1" applyBorder="1" applyAlignment="1">
      <alignment horizontal="center" vertical="center"/>
    </xf>
    <xf numFmtId="0" fontId="0" fillId="6" borderId="23" xfId="0" applyFill="1" applyBorder="1" applyAlignment="1">
      <alignment horizontal="center" vertical="center"/>
    </xf>
    <xf numFmtId="0" fontId="32" fillId="5" borderId="7" xfId="0" applyFont="1" applyFill="1" applyBorder="1" applyAlignment="1">
      <alignment horizontal="centerContinuous" vertical="center"/>
    </xf>
    <xf numFmtId="0" fontId="6" fillId="5" borderId="7" xfId="0" applyFont="1" applyFill="1" applyBorder="1" applyAlignment="1">
      <alignment horizontal="centerContinuous" vertical="center"/>
    </xf>
    <xf numFmtId="0" fontId="0" fillId="5" borderId="7" xfId="0" applyFill="1" applyBorder="1" applyAlignment="1">
      <alignment vertical="center"/>
    </xf>
    <xf numFmtId="0" fontId="3" fillId="5" borderId="23" xfId="0" applyFont="1" applyFill="1" applyBorder="1" applyProtection="1">
      <protection hidden="1"/>
    </xf>
    <xf numFmtId="0" fontId="3" fillId="5" borderId="22" xfId="0" applyFont="1" applyFill="1" applyBorder="1" applyProtection="1">
      <protection hidden="1"/>
    </xf>
    <xf numFmtId="0" fontId="3" fillId="5" borderId="20" xfId="0" applyFont="1" applyFill="1" applyBorder="1" applyProtection="1">
      <protection hidden="1"/>
    </xf>
    <xf numFmtId="0" fontId="10" fillId="5" borderId="7" xfId="0" applyFont="1" applyFill="1" applyBorder="1" applyAlignment="1" applyProtection="1">
      <alignment horizontal="right"/>
      <protection hidden="1"/>
    </xf>
    <xf numFmtId="0" fontId="3" fillId="5" borderId="32" xfId="0" applyFont="1" applyFill="1" applyBorder="1" applyAlignment="1" applyProtection="1">
      <alignment horizontal="center" vertical="center" wrapText="1"/>
      <protection hidden="1"/>
    </xf>
    <xf numFmtId="194" fontId="3" fillId="5" borderId="34" xfId="0" applyNumberFormat="1" applyFont="1" applyFill="1" applyBorder="1" applyAlignment="1" applyProtection="1">
      <alignment horizontal="center" vertical="center"/>
      <protection hidden="1"/>
    </xf>
    <xf numFmtId="194" fontId="3" fillId="5" borderId="7" xfId="0" applyNumberFormat="1" applyFont="1" applyFill="1" applyBorder="1" applyAlignment="1" applyProtection="1">
      <alignment horizontal="center" vertical="center"/>
      <protection hidden="1"/>
    </xf>
    <xf numFmtId="0" fontId="41" fillId="5" borderId="0" xfId="2" applyFont="1" applyFill="1" applyBorder="1" applyAlignment="1" applyProtection="1">
      <alignment vertical="top"/>
      <protection hidden="1"/>
    </xf>
    <xf numFmtId="0" fontId="29" fillId="5" borderId="0" xfId="0" applyFont="1" applyFill="1" applyBorder="1" applyAlignment="1" applyProtection="1">
      <alignment horizontal="center"/>
      <protection hidden="1"/>
    </xf>
    <xf numFmtId="194" fontId="27" fillId="0" borderId="7" xfId="0" applyNumberFormat="1" applyFont="1" applyFill="1" applyBorder="1" applyAlignment="1" applyProtection="1">
      <alignment horizontal="center" vertical="center" shrinkToFit="1"/>
      <protection locked="0" hidden="1"/>
    </xf>
    <xf numFmtId="0" fontId="0" fillId="0" borderId="29" xfId="0" applyNumberFormat="1" applyFill="1" applyBorder="1" applyAlignment="1" applyProtection="1">
      <alignment horizontal="left" indent="1"/>
      <protection hidden="1"/>
    </xf>
    <xf numFmtId="0" fontId="25" fillId="0" borderId="19" xfId="0" applyFont="1" applyFill="1" applyBorder="1" applyAlignment="1" applyProtection="1">
      <alignment horizontal="center" vertical="center" shrinkToFit="1"/>
      <protection hidden="1"/>
    </xf>
    <xf numFmtId="0" fontId="4" fillId="0" borderId="21" xfId="0" applyFont="1" applyFill="1" applyBorder="1" applyAlignment="1" applyProtection="1">
      <alignment horizontal="center" vertical="top" wrapText="1"/>
      <protection hidden="1"/>
    </xf>
    <xf numFmtId="0" fontId="4" fillId="0" borderId="34" xfId="0" applyFont="1" applyFill="1" applyBorder="1" applyAlignment="1" applyProtection="1">
      <alignment horizontal="center" vertical="top"/>
      <protection hidden="1"/>
    </xf>
    <xf numFmtId="0" fontId="10" fillId="0" borderId="8" xfId="0" applyFont="1" applyFill="1" applyBorder="1" applyAlignment="1" applyProtection="1">
      <alignment horizontal="center" vertical="center" textRotation="90" shrinkToFit="1"/>
      <protection hidden="1"/>
    </xf>
    <xf numFmtId="0" fontId="24" fillId="0" borderId="8" xfId="0" applyFont="1" applyFill="1" applyBorder="1" applyAlignment="1" applyProtection="1">
      <alignment horizontal="center" vertical="center" textRotation="90" shrinkToFit="1"/>
      <protection hidden="1"/>
    </xf>
    <xf numFmtId="49" fontId="27" fillId="0" borderId="27" xfId="0" applyNumberFormat="1" applyFont="1" applyFill="1" applyBorder="1" applyAlignment="1" applyProtection="1">
      <protection locked="0"/>
    </xf>
    <xf numFmtId="0" fontId="6" fillId="2" borderId="39" xfId="0" applyFont="1" applyFill="1" applyBorder="1" applyAlignment="1" applyProtection="1">
      <alignment horizontal="center" vertical="center"/>
      <protection hidden="1"/>
    </xf>
    <xf numFmtId="0" fontId="6" fillId="2" borderId="40" xfId="0" applyFont="1" applyFill="1" applyBorder="1" applyAlignment="1" applyProtection="1">
      <alignment horizontal="center" vertical="center"/>
      <protection hidden="1"/>
    </xf>
    <xf numFmtId="0" fontId="6" fillId="2" borderId="41" xfId="0" applyFont="1" applyFill="1" applyBorder="1" applyAlignment="1" applyProtection="1">
      <alignment horizontal="center" vertical="center"/>
      <protection hidden="1"/>
    </xf>
    <xf numFmtId="0" fontId="6" fillId="2" borderId="10" xfId="0" applyFont="1" applyFill="1" applyBorder="1" applyAlignment="1" applyProtection="1">
      <alignment horizontal="center" vertical="center"/>
      <protection hidden="1"/>
    </xf>
    <xf numFmtId="49" fontId="5" fillId="0" borderId="23" xfId="0" applyNumberFormat="1" applyFont="1" applyFill="1" applyBorder="1" applyAlignment="1" applyProtection="1">
      <alignment horizontal="center" shrinkToFit="1"/>
      <protection locked="0"/>
    </xf>
    <xf numFmtId="49" fontId="5" fillId="0" borderId="20" xfId="0" applyNumberFormat="1" applyFont="1" applyFill="1" applyBorder="1" applyAlignment="1" applyProtection="1">
      <alignment horizontal="center" shrinkToFit="1"/>
      <protection locked="0"/>
    </xf>
    <xf numFmtId="49" fontId="5" fillId="0" borderId="22" xfId="0" applyNumberFormat="1" applyFont="1" applyFill="1" applyBorder="1" applyAlignment="1" applyProtection="1">
      <alignment horizontal="center" shrinkToFit="1"/>
      <protection locked="0"/>
    </xf>
    <xf numFmtId="0" fontId="6" fillId="0" borderId="35" xfId="0" applyFont="1" applyFill="1" applyBorder="1" applyAlignment="1" applyProtection="1">
      <alignment vertical="center"/>
      <protection hidden="1"/>
    </xf>
    <xf numFmtId="0" fontId="6" fillId="0" borderId="36" xfId="0" applyFont="1" applyFill="1" applyBorder="1" applyAlignment="1" applyProtection="1">
      <alignment vertical="center"/>
      <protection hidden="1"/>
    </xf>
    <xf numFmtId="0" fontId="6" fillId="5" borderId="21"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2" borderId="39" xfId="0" applyFont="1" applyFill="1" applyBorder="1" applyAlignment="1" applyProtection="1">
      <alignment horizontal="center" vertical="center"/>
      <protection hidden="1"/>
    </xf>
    <xf numFmtId="0" fontId="3" fillId="2" borderId="40" xfId="0" applyFont="1" applyFill="1" applyBorder="1" applyAlignment="1" applyProtection="1">
      <alignment horizontal="center" vertical="center"/>
      <protection hidden="1"/>
    </xf>
    <xf numFmtId="0" fontId="0" fillId="0" borderId="41" xfId="0" applyBorder="1" applyAlignment="1">
      <alignment horizontal="center" vertical="center"/>
    </xf>
    <xf numFmtId="0" fontId="6" fillId="0" borderId="35" xfId="0" applyFont="1" applyFill="1" applyBorder="1" applyAlignment="1" applyProtection="1">
      <alignment vertical="center" shrinkToFit="1"/>
      <protection hidden="1"/>
    </xf>
    <xf numFmtId="0" fontId="6" fillId="0" borderId="36" xfId="0" applyFont="1" applyFill="1" applyBorder="1" applyAlignment="1" applyProtection="1">
      <alignment vertical="center" shrinkToFit="1"/>
      <protection hidden="1"/>
    </xf>
    <xf numFmtId="0" fontId="32" fillId="0" borderId="35" xfId="0" applyNumberFormat="1" applyFont="1" applyFill="1" applyBorder="1" applyAlignment="1" applyProtection="1">
      <alignment horizontal="center" vertical="center"/>
      <protection hidden="1"/>
    </xf>
    <xf numFmtId="0" fontId="32" fillId="0" borderId="29" xfId="0" applyNumberFormat="1" applyFont="1" applyFill="1" applyBorder="1" applyAlignment="1" applyProtection="1">
      <alignment horizontal="center" vertical="center"/>
      <protection hidden="1"/>
    </xf>
    <xf numFmtId="0" fontId="32" fillId="0" borderId="36" xfId="0" applyNumberFormat="1" applyFont="1" applyFill="1" applyBorder="1" applyAlignment="1" applyProtection="1">
      <alignment horizontal="center" vertical="center"/>
      <protection hidden="1"/>
    </xf>
    <xf numFmtId="15" fontId="27" fillId="0" borderId="27" xfId="0" applyNumberFormat="1" applyFont="1" applyFill="1" applyBorder="1" applyAlignment="1" applyProtection="1">
      <alignment horizontal="left"/>
      <protection locked="0"/>
    </xf>
    <xf numFmtId="0" fontId="4" fillId="0" borderId="1" xfId="0" applyFont="1" applyFill="1" applyBorder="1" applyAlignment="1" applyProtection="1">
      <alignment horizontal="center" vertical="top" wrapText="1"/>
      <protection hidden="1"/>
    </xf>
    <xf numFmtId="0" fontId="0" fillId="0" borderId="3" xfId="0" applyBorder="1" applyAlignment="1">
      <alignment horizontal="center" vertical="top" wrapText="1"/>
    </xf>
    <xf numFmtId="15" fontId="0" fillId="0" borderId="29" xfId="0" applyNumberFormat="1" applyFill="1" applyBorder="1" applyAlignment="1" applyProtection="1">
      <alignment horizontal="left"/>
      <protection hidden="1"/>
    </xf>
    <xf numFmtId="0" fontId="6" fillId="0" borderId="37" xfId="0" applyFont="1" applyFill="1" applyBorder="1" applyAlignment="1" applyProtection="1">
      <alignment horizontal="center" vertical="top" wrapText="1"/>
      <protection hidden="1"/>
    </xf>
    <xf numFmtId="0" fontId="0" fillId="0" borderId="38" xfId="0" applyBorder="1" applyAlignment="1" applyProtection="1">
      <alignment wrapText="1"/>
      <protection hidden="1"/>
    </xf>
    <xf numFmtId="0" fontId="2" fillId="2" borderId="39" xfId="0" applyFont="1" applyFill="1" applyBorder="1" applyAlignment="1" applyProtection="1">
      <alignment horizontal="center" vertical="center"/>
      <protection hidden="1"/>
    </xf>
    <xf numFmtId="0" fontId="2" fillId="2" borderId="40" xfId="0" applyFont="1" applyFill="1" applyBorder="1" applyAlignment="1" applyProtection="1">
      <alignment horizontal="center" vertical="center"/>
      <protection hidden="1"/>
    </xf>
    <xf numFmtId="0" fontId="2" fillId="2" borderId="41" xfId="0" applyFont="1" applyFill="1" applyBorder="1" applyAlignment="1" applyProtection="1">
      <alignment horizontal="center" vertical="center"/>
      <protection hidden="1"/>
    </xf>
    <xf numFmtId="0" fontId="0" fillId="0" borderId="27" xfId="0" applyNumberFormat="1" applyFill="1" applyBorder="1" applyAlignment="1" applyProtection="1">
      <alignment horizontal="left" vertical="center" indent="1"/>
      <protection hidden="1"/>
    </xf>
    <xf numFmtId="0" fontId="6" fillId="5" borderId="30" xfId="0" applyFont="1" applyFill="1" applyBorder="1" applyAlignment="1">
      <alignment horizontal="center" vertical="center"/>
    </xf>
    <xf numFmtId="0" fontId="0" fillId="5" borderId="43" xfId="0" applyFill="1" applyBorder="1" applyAlignment="1">
      <alignment horizontal="center" vertical="center"/>
    </xf>
    <xf numFmtId="0" fontId="6" fillId="5" borderId="44" xfId="0" applyFont="1" applyFill="1" applyBorder="1" applyAlignment="1">
      <alignment horizontal="center" vertical="center"/>
    </xf>
    <xf numFmtId="0" fontId="0" fillId="5" borderId="45" xfId="0" applyFill="1" applyBorder="1" applyAlignment="1">
      <alignment horizontal="center" vertical="center"/>
    </xf>
    <xf numFmtId="0" fontId="32" fillId="5" borderId="23" xfId="0" applyFont="1" applyFill="1" applyBorder="1" applyAlignment="1">
      <alignment horizontal="center" vertical="center"/>
    </xf>
    <xf numFmtId="0" fontId="32" fillId="5" borderId="20" xfId="0" applyFont="1" applyFill="1" applyBorder="1" applyAlignment="1">
      <alignment horizontal="center" vertical="center"/>
    </xf>
    <xf numFmtId="0" fontId="32" fillId="5" borderId="22" xfId="0" applyFont="1" applyFill="1" applyBorder="1" applyAlignment="1">
      <alignment horizontal="center" vertical="center"/>
    </xf>
    <xf numFmtId="0" fontId="6" fillId="5" borderId="1" xfId="0" applyFont="1" applyFill="1" applyBorder="1" applyAlignment="1">
      <alignment horizontal="center" vertical="center"/>
    </xf>
    <xf numFmtId="0" fontId="6" fillId="0" borderId="46" xfId="0" applyFont="1" applyBorder="1" applyAlignment="1">
      <alignment horizontal="center" vertical="center"/>
    </xf>
    <xf numFmtId="0" fontId="0" fillId="5" borderId="7" xfId="0" applyFill="1" applyBorder="1" applyAlignment="1">
      <alignment vertical="center" wrapText="1"/>
    </xf>
    <xf numFmtId="0" fontId="0" fillId="0" borderId="7" xfId="0" applyBorder="1" applyAlignment="1">
      <alignment vertical="center" wrapText="1"/>
    </xf>
    <xf numFmtId="0" fontId="0" fillId="0" borderId="23" xfId="0" applyBorder="1" applyAlignment="1">
      <alignment vertical="center" wrapText="1"/>
    </xf>
    <xf numFmtId="0" fontId="0" fillId="0" borderId="32" xfId="0" applyBorder="1" applyAlignment="1">
      <alignment vertical="center" wrapText="1"/>
    </xf>
    <xf numFmtId="0" fontId="0" fillId="0" borderId="31" xfId="0" applyBorder="1" applyAlignment="1">
      <alignment vertical="center" wrapText="1"/>
    </xf>
    <xf numFmtId="0" fontId="0" fillId="5" borderId="28" xfId="0" applyFill="1" applyBorder="1" applyAlignment="1">
      <alignment horizontal="center" vertical="center" wrapText="1"/>
    </xf>
    <xf numFmtId="0" fontId="0" fillId="0" borderId="42" xfId="0" applyBorder="1" applyAlignment="1">
      <alignment vertical="center" wrapText="1"/>
    </xf>
    <xf numFmtId="0" fontId="0" fillId="5" borderId="7" xfId="0" applyFill="1" applyBorder="1" applyAlignment="1">
      <alignment horizontal="center" vertical="center" wrapText="1"/>
    </xf>
    <xf numFmtId="0" fontId="6" fillId="5" borderId="7" xfId="0" applyFont="1" applyFill="1" applyBorder="1" applyAlignment="1">
      <alignment vertical="center" wrapText="1"/>
    </xf>
    <xf numFmtId="0" fontId="6" fillId="5" borderId="32" xfId="0" applyFont="1" applyFill="1" applyBorder="1" applyAlignment="1">
      <alignment vertical="center" wrapText="1"/>
    </xf>
    <xf numFmtId="0" fontId="6" fillId="5" borderId="23" xfId="0" applyFont="1" applyFill="1" applyBorder="1" applyAlignment="1">
      <alignment vertical="center" wrapText="1"/>
    </xf>
    <xf numFmtId="0" fontId="6" fillId="5" borderId="31" xfId="0" applyFont="1" applyFill="1" applyBorder="1" applyAlignment="1">
      <alignment vertical="center" wrapText="1"/>
    </xf>
    <xf numFmtId="0" fontId="6" fillId="5" borderId="28" xfId="0" applyFont="1" applyFill="1" applyBorder="1" applyAlignment="1">
      <alignment horizontal="center" vertical="center" wrapText="1"/>
    </xf>
    <xf numFmtId="0" fontId="0" fillId="0" borderId="7" xfId="0" applyBorder="1" applyAlignment="1">
      <alignment wrapText="1"/>
    </xf>
    <xf numFmtId="0" fontId="6" fillId="5" borderId="42" xfId="0" applyFont="1" applyFill="1" applyBorder="1" applyAlignment="1">
      <alignment horizontal="center" vertical="center" wrapText="1"/>
    </xf>
    <xf numFmtId="0" fontId="0" fillId="0" borderId="32" xfId="0" applyBorder="1" applyAlignment="1">
      <alignment wrapText="1"/>
    </xf>
    <xf numFmtId="0" fontId="0" fillId="5" borderId="34" xfId="0" applyFill="1" applyBorder="1" applyAlignment="1">
      <alignment vertical="center" wrapText="1"/>
    </xf>
    <xf numFmtId="0" fontId="0" fillId="0" borderId="34" xfId="0" applyBorder="1" applyAlignment="1">
      <alignment vertical="center" wrapText="1"/>
    </xf>
    <xf numFmtId="0" fontId="0" fillId="0" borderId="4" xfId="0" applyBorder="1" applyAlignment="1">
      <alignment vertical="center" wrapText="1"/>
    </xf>
    <xf numFmtId="0" fontId="32" fillId="6" borderId="33" xfId="0" applyFont="1" applyFill="1" applyBorder="1" applyAlignment="1">
      <alignment horizontal="center" vertical="center" wrapText="1"/>
    </xf>
    <xf numFmtId="0" fontId="32" fillId="0" borderId="28" xfId="0" applyFont="1" applyBorder="1" applyAlignment="1">
      <alignment vertical="center" wrapText="1"/>
    </xf>
    <xf numFmtId="0" fontId="32" fillId="6" borderId="34" xfId="0" applyFont="1" applyFill="1" applyBorder="1" applyAlignment="1">
      <alignment horizontal="center" vertical="center" wrapText="1"/>
    </xf>
    <xf numFmtId="0" fontId="32" fillId="0" borderId="7" xfId="0" applyFont="1" applyBorder="1" applyAlignment="1">
      <alignment vertical="center" wrapText="1"/>
    </xf>
    <xf numFmtId="0" fontId="0" fillId="5" borderId="34" xfId="0" applyFill="1" applyBorder="1" applyAlignment="1">
      <alignment horizontal="center" vertical="center"/>
    </xf>
    <xf numFmtId="0" fontId="0" fillId="5" borderId="4" xfId="0" applyFill="1" applyBorder="1" applyAlignment="1">
      <alignment horizontal="center" vertical="center"/>
    </xf>
    <xf numFmtId="0" fontId="0" fillId="6" borderId="33" xfId="0" applyFill="1" applyBorder="1" applyAlignment="1">
      <alignment horizontal="center" vertical="center"/>
    </xf>
    <xf numFmtId="0" fontId="0" fillId="0" borderId="34" xfId="0" applyBorder="1" applyAlignment="1"/>
    <xf numFmtId="0" fontId="0" fillId="5" borderId="7" xfId="0" applyFill="1" applyBorder="1" applyAlignment="1">
      <alignment horizontal="center" vertical="center"/>
    </xf>
    <xf numFmtId="0" fontId="0" fillId="5" borderId="23" xfId="0" applyFill="1" applyBorder="1" applyAlignment="1">
      <alignment horizontal="center" vertical="center"/>
    </xf>
    <xf numFmtId="0" fontId="0" fillId="6" borderId="28" xfId="0" applyFill="1" applyBorder="1" applyAlignment="1">
      <alignment horizontal="center" vertical="center"/>
    </xf>
    <xf numFmtId="0" fontId="0" fillId="0" borderId="7" xfId="0" applyBorder="1" applyAlignment="1"/>
    <xf numFmtId="0" fontId="32" fillId="6" borderId="28" xfId="0" applyFont="1" applyFill="1" applyBorder="1" applyAlignment="1">
      <alignment horizontal="center" vertical="center" wrapText="1"/>
    </xf>
    <xf numFmtId="0" fontId="32" fillId="6" borderId="7" xfId="0" applyFont="1" applyFill="1" applyBorder="1" applyAlignment="1">
      <alignment horizontal="center" vertical="center" wrapText="1"/>
    </xf>
    <xf numFmtId="0" fontId="28" fillId="2" borderId="0" xfId="0" applyFont="1" applyFill="1" applyAlignment="1" applyProtection="1">
      <alignment horizontal="center"/>
      <protection hidden="1"/>
    </xf>
    <xf numFmtId="0" fontId="6" fillId="7" borderId="1" xfId="0" applyFont="1" applyFill="1" applyBorder="1" applyAlignment="1" applyProtection="1">
      <alignment vertical="top" wrapText="1"/>
      <protection hidden="1"/>
    </xf>
    <xf numFmtId="0" fontId="3" fillId="7" borderId="3" xfId="0" applyFont="1" applyFill="1" applyBorder="1" applyAlignment="1" applyProtection="1">
      <alignment vertical="top" wrapText="1"/>
      <protection hidden="1"/>
    </xf>
    <xf numFmtId="0" fontId="3" fillId="7" borderId="8" xfId="0" applyFont="1" applyFill="1" applyBorder="1" applyAlignment="1" applyProtection="1">
      <alignment vertical="top" wrapText="1"/>
      <protection hidden="1"/>
    </xf>
    <xf numFmtId="0" fontId="3" fillId="7" borderId="18" xfId="0" applyFont="1" applyFill="1" applyBorder="1" applyAlignment="1" applyProtection="1">
      <alignment vertical="top" wrapText="1"/>
      <protection hidden="1"/>
    </xf>
    <xf numFmtId="0" fontId="3" fillId="7" borderId="4" xfId="0" applyFont="1" applyFill="1" applyBorder="1" applyAlignment="1" applyProtection="1">
      <alignment vertical="top" wrapText="1"/>
      <protection hidden="1"/>
    </xf>
    <xf numFmtId="0" fontId="3" fillId="7" borderId="6" xfId="0" applyFont="1" applyFill="1" applyBorder="1" applyAlignment="1" applyProtection="1">
      <alignment vertical="top" wrapText="1"/>
      <protection hidden="1"/>
    </xf>
    <xf numFmtId="0" fontId="6" fillId="0" borderId="1" xfId="0" applyFont="1" applyFill="1" applyBorder="1" applyAlignment="1" applyProtection="1">
      <alignment horizontal="center" vertical="center"/>
      <protection hidden="1"/>
    </xf>
    <xf numFmtId="0" fontId="0" fillId="0" borderId="4" xfId="0" applyFill="1" applyBorder="1" applyAlignment="1" applyProtection="1">
      <alignment vertical="center"/>
      <protection hidden="1"/>
    </xf>
    <xf numFmtId="0" fontId="6" fillId="0" borderId="47" xfId="0" applyFont="1" applyFill="1" applyBorder="1" applyAlignment="1" applyProtection="1">
      <alignment horizontal="center" vertical="center"/>
      <protection hidden="1"/>
    </xf>
    <xf numFmtId="0" fontId="0" fillId="0" borderId="48" xfId="0" applyFill="1" applyBorder="1" applyAlignment="1" applyProtection="1">
      <alignment vertical="center"/>
      <protection hidden="1"/>
    </xf>
    <xf numFmtId="0" fontId="6" fillId="0" borderId="44" xfId="0" applyFont="1" applyFill="1" applyBorder="1" applyAlignment="1" applyProtection="1">
      <alignment horizontal="center" vertical="center" shrinkToFit="1"/>
      <protection hidden="1"/>
    </xf>
    <xf numFmtId="0" fontId="0" fillId="0" borderId="33" xfId="0" applyFill="1" applyBorder="1" applyAlignment="1" applyProtection="1">
      <alignment vertical="center" shrinkToFit="1"/>
      <protection hidden="1"/>
    </xf>
    <xf numFmtId="0" fontId="3" fillId="5" borderId="8" xfId="0" applyFont="1" applyFill="1" applyBorder="1" applyAlignment="1" applyProtection="1">
      <alignment wrapText="1"/>
      <protection hidden="1"/>
    </xf>
    <xf numFmtId="0" fontId="3" fillId="5" borderId="0" xfId="0" applyFont="1" applyFill="1" applyBorder="1" applyAlignment="1" applyProtection="1">
      <alignment wrapText="1"/>
      <protection hidden="1"/>
    </xf>
    <xf numFmtId="0" fontId="3" fillId="5" borderId="18" xfId="0" applyFont="1" applyFill="1" applyBorder="1" applyAlignment="1" applyProtection="1">
      <alignment wrapText="1"/>
      <protection hidden="1"/>
    </xf>
    <xf numFmtId="0" fontId="3" fillId="5" borderId="8" xfId="0" applyFont="1" applyFill="1" applyBorder="1" applyAlignment="1" applyProtection="1">
      <alignment vertical="top" wrapText="1"/>
      <protection hidden="1"/>
    </xf>
    <xf numFmtId="0" fontId="3" fillId="5" borderId="0" xfId="0" applyFont="1" applyFill="1" applyBorder="1" applyAlignment="1" applyProtection="1">
      <alignment vertical="top" wrapText="1"/>
      <protection hidden="1"/>
    </xf>
    <xf numFmtId="0" fontId="3" fillId="5" borderId="18" xfId="0" applyFont="1" applyFill="1" applyBorder="1" applyAlignment="1" applyProtection="1">
      <alignment vertical="top" wrapText="1"/>
      <protection hidden="1"/>
    </xf>
    <xf numFmtId="0" fontId="3" fillId="5" borderId="4" xfId="0" applyFont="1" applyFill="1" applyBorder="1" applyAlignment="1" applyProtection="1">
      <alignment vertical="top" wrapText="1"/>
      <protection hidden="1"/>
    </xf>
    <xf numFmtId="0" fontId="3" fillId="5" borderId="19" xfId="0" applyFont="1" applyFill="1" applyBorder="1" applyAlignment="1" applyProtection="1">
      <alignment vertical="top" wrapText="1"/>
      <protection hidden="1"/>
    </xf>
    <xf numFmtId="0" fontId="3" fillId="5" borderId="6" xfId="0" applyFont="1" applyFill="1" applyBorder="1" applyAlignment="1" applyProtection="1">
      <alignment vertical="top" wrapText="1"/>
      <protection hidden="1"/>
    </xf>
    <xf numFmtId="0" fontId="0" fillId="5" borderId="8" xfId="0" applyFill="1" applyBorder="1" applyAlignment="1">
      <alignment vertical="top" wrapText="1"/>
    </xf>
    <xf numFmtId="0" fontId="0" fillId="0" borderId="0" xfId="0" applyAlignment="1">
      <alignment vertical="top" wrapText="1"/>
    </xf>
    <xf numFmtId="0" fontId="0" fillId="0" borderId="18" xfId="0" applyBorder="1" applyAlignment="1">
      <alignment vertical="top" wrapText="1"/>
    </xf>
    <xf numFmtId="0" fontId="0" fillId="0" borderId="8" xfId="0" applyBorder="1" applyAlignment="1">
      <alignment vertical="top" wrapText="1"/>
    </xf>
    <xf numFmtId="0" fontId="0" fillId="0" borderId="4" xfId="0" applyBorder="1" applyAlignment="1">
      <alignment vertical="top" wrapText="1"/>
    </xf>
    <xf numFmtId="0" fontId="0" fillId="0" borderId="19" xfId="0" applyBorder="1" applyAlignment="1">
      <alignment vertical="top" wrapText="1"/>
    </xf>
    <xf numFmtId="0" fontId="0" fillId="0" borderId="6" xfId="0" applyBorder="1" applyAlignment="1">
      <alignment vertical="top" wrapText="1"/>
    </xf>
    <xf numFmtId="0" fontId="0" fillId="5" borderId="0" xfId="0" applyFill="1" applyBorder="1" applyAlignment="1">
      <alignment vertical="top" wrapText="1"/>
    </xf>
    <xf numFmtId="0" fontId="0" fillId="5" borderId="18" xfId="0" applyFill="1" applyBorder="1" applyAlignment="1">
      <alignment vertical="top" wrapText="1"/>
    </xf>
    <xf numFmtId="0" fontId="3" fillId="5" borderId="8" xfId="0" applyFont="1" applyFill="1" applyBorder="1" applyAlignment="1">
      <alignment vertical="top" wrapText="1"/>
    </xf>
    <xf numFmtId="0" fontId="0" fillId="0" borderId="0" xfId="0" applyBorder="1" applyAlignment="1">
      <alignment vertical="top" wrapText="1"/>
    </xf>
    <xf numFmtId="0" fontId="28" fillId="3" borderId="0" xfId="0" applyFont="1" applyFill="1" applyAlignment="1" applyProtection="1">
      <alignment horizontal="center"/>
      <protection hidden="1"/>
    </xf>
    <xf numFmtId="0" fontId="3" fillId="5" borderId="23" xfId="0" applyFont="1" applyFill="1" applyBorder="1" applyAlignment="1" applyProtection="1">
      <alignment wrapText="1"/>
      <protection hidden="1"/>
    </xf>
    <xf numFmtId="0" fontId="3" fillId="5" borderId="20" xfId="0" applyFont="1" applyFill="1" applyBorder="1" applyAlignment="1" applyProtection="1">
      <alignment wrapText="1"/>
      <protection hidden="1"/>
    </xf>
    <xf numFmtId="0" fontId="3" fillId="5" borderId="22" xfId="0" applyFont="1" applyFill="1" applyBorder="1" applyAlignment="1" applyProtection="1">
      <alignment wrapText="1"/>
      <protection hidden="1"/>
    </xf>
    <xf numFmtId="0" fontId="0" fillId="5" borderId="0" xfId="0" applyFill="1" applyAlignment="1" applyProtection="1">
      <alignment vertical="top" wrapText="1"/>
      <protection hidden="1"/>
    </xf>
    <xf numFmtId="0" fontId="0" fillId="5" borderId="18" xfId="0" applyFill="1" applyBorder="1" applyAlignment="1" applyProtection="1">
      <alignment vertical="top" wrapText="1"/>
      <protection hidden="1"/>
    </xf>
    <xf numFmtId="0" fontId="0" fillId="5" borderId="8" xfId="0" applyFill="1" applyBorder="1" applyAlignment="1" applyProtection="1">
      <alignment vertical="top" wrapText="1"/>
      <protection hidden="1"/>
    </xf>
    <xf numFmtId="0" fontId="0" fillId="5" borderId="0" xfId="0" applyFill="1" applyAlignment="1">
      <alignment vertical="top" wrapText="1"/>
    </xf>
    <xf numFmtId="0" fontId="3" fillId="5" borderId="8" xfId="0" applyFont="1" applyFill="1" applyBorder="1" applyAlignment="1" applyProtection="1">
      <alignment horizontal="justify" vertical="top" wrapText="1"/>
      <protection hidden="1"/>
    </xf>
    <xf numFmtId="0" fontId="0" fillId="0" borderId="0" xfId="0"/>
    <xf numFmtId="0" fontId="0" fillId="0" borderId="18" xfId="0" applyBorder="1"/>
    <xf numFmtId="0" fontId="0" fillId="0" borderId="8" xfId="0" applyBorder="1"/>
    <xf numFmtId="0" fontId="0" fillId="5" borderId="0" xfId="0" applyFill="1" applyAlignment="1" applyProtection="1">
      <alignment horizontal="justify" vertical="top" wrapText="1"/>
      <protection hidden="1"/>
    </xf>
    <xf numFmtId="0" fontId="0" fillId="5" borderId="18" xfId="0" applyFill="1" applyBorder="1" applyAlignment="1" applyProtection="1">
      <alignment horizontal="justify" vertical="top" wrapText="1"/>
      <protection hidden="1"/>
    </xf>
    <xf numFmtId="0" fontId="0" fillId="5" borderId="8" xfId="0" applyFill="1" applyBorder="1" applyAlignment="1" applyProtection="1">
      <alignment horizontal="justify" vertical="top" wrapText="1"/>
      <protection hidden="1"/>
    </xf>
    <xf numFmtId="0" fontId="10" fillId="5" borderId="21" xfId="0" applyFont="1" applyFill="1" applyBorder="1" applyAlignment="1" applyProtection="1">
      <alignment horizontal="right" vertical="center" wrapText="1"/>
      <protection hidden="1"/>
    </xf>
    <xf numFmtId="0" fontId="10" fillId="5" borderId="49" xfId="0" applyFont="1" applyFill="1" applyBorder="1" applyAlignment="1" applyProtection="1">
      <alignment horizontal="right" vertical="center" wrapText="1"/>
      <protection hidden="1"/>
    </xf>
    <xf numFmtId="0" fontId="10" fillId="5" borderId="34" xfId="0" applyFont="1" applyFill="1" applyBorder="1" applyAlignment="1" applyProtection="1">
      <alignment horizontal="right" vertical="center" wrapText="1"/>
      <protection hidden="1"/>
    </xf>
    <xf numFmtId="0" fontId="10" fillId="5" borderId="21" xfId="0" applyFont="1" applyFill="1" applyBorder="1" applyAlignment="1" applyProtection="1">
      <alignment horizontal="right" vertical="center"/>
      <protection hidden="1"/>
    </xf>
    <xf numFmtId="0" fontId="10" fillId="5" borderId="34" xfId="0" applyFont="1" applyFill="1" applyBorder="1" applyAlignment="1" applyProtection="1">
      <alignment horizontal="right" vertical="center"/>
      <protection hidden="1"/>
    </xf>
    <xf numFmtId="0" fontId="3" fillId="5" borderId="0" xfId="0" applyFont="1" applyFill="1" applyBorder="1" applyAlignment="1">
      <alignment vertical="top" wrapText="1"/>
    </xf>
    <xf numFmtId="0" fontId="3" fillId="5" borderId="18" xfId="0" applyFont="1" applyFill="1" applyBorder="1" applyAlignment="1">
      <alignment vertical="top" wrapText="1"/>
    </xf>
    <xf numFmtId="0" fontId="0" fillId="5" borderId="4" xfId="0" applyFill="1" applyBorder="1" applyAlignment="1">
      <alignment vertical="top" wrapText="1"/>
    </xf>
    <xf numFmtId="0" fontId="0" fillId="5" borderId="19" xfId="0" applyFill="1" applyBorder="1" applyAlignment="1">
      <alignment vertical="top" wrapText="1"/>
    </xf>
    <xf numFmtId="0" fontId="0" fillId="5" borderId="6" xfId="0" applyFill="1" applyBorder="1" applyAlignment="1">
      <alignment vertical="top" wrapText="1"/>
    </xf>
    <xf numFmtId="0" fontId="3" fillId="5" borderId="1" xfId="0" applyFont="1" applyFill="1" applyBorder="1" applyAlignment="1" applyProtection="1">
      <alignment vertical="center"/>
      <protection hidden="1"/>
    </xf>
    <xf numFmtId="0" fontId="0" fillId="0" borderId="3"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27" fillId="5" borderId="0" xfId="0" applyFont="1" applyFill="1" applyBorder="1" applyAlignment="1">
      <alignment horizontal="justify" vertical="top" wrapText="1"/>
    </xf>
    <xf numFmtId="0" fontId="27" fillId="5" borderId="18" xfId="0" applyFont="1" applyFill="1" applyBorder="1" applyAlignment="1">
      <alignment horizontal="justify" vertical="top" wrapText="1"/>
    </xf>
    <xf numFmtId="0" fontId="27" fillId="5" borderId="8" xfId="0" applyFont="1" applyFill="1" applyBorder="1" applyAlignment="1">
      <alignment horizontal="justify" vertical="top" wrapText="1"/>
    </xf>
    <xf numFmtId="0" fontId="0" fillId="0" borderId="8" xfId="0" applyBorder="1" applyAlignment="1">
      <alignment vertical="center"/>
    </xf>
    <xf numFmtId="0" fontId="0" fillId="0" borderId="18" xfId="0" applyBorder="1" applyAlignment="1">
      <alignment vertical="center"/>
    </xf>
    <xf numFmtId="0" fontId="3" fillId="5" borderId="1" xfId="0" applyFont="1" applyFill="1" applyBorder="1" applyAlignment="1" applyProtection="1">
      <alignment vertical="top" wrapText="1"/>
      <protection hidden="1"/>
    </xf>
    <xf numFmtId="0" fontId="0" fillId="0" borderId="17" xfId="0" applyBorder="1" applyAlignment="1">
      <alignment vertical="top" wrapText="1"/>
    </xf>
    <xf numFmtId="0" fontId="0" fillId="0" borderId="3" xfId="0" applyBorder="1" applyAlignment="1">
      <alignment vertical="top" wrapText="1"/>
    </xf>
    <xf numFmtId="0" fontId="10" fillId="5" borderId="21" xfId="0" applyFont="1" applyFill="1" applyBorder="1" applyAlignment="1">
      <alignment horizontal="right" vertical="center"/>
    </xf>
    <xf numFmtId="0" fontId="10" fillId="5" borderId="34" xfId="0" applyFont="1" applyFill="1" applyBorder="1" applyAlignment="1">
      <alignment horizontal="right" vertical="center"/>
    </xf>
    <xf numFmtId="0" fontId="0" fillId="5" borderId="0" xfId="0" applyFill="1" applyAlignment="1">
      <alignment horizontal="justify" vertical="top" wrapText="1"/>
    </xf>
    <xf numFmtId="0" fontId="0" fillId="5" borderId="18" xfId="0" applyFill="1" applyBorder="1" applyAlignment="1">
      <alignment horizontal="justify" vertical="top" wrapText="1"/>
    </xf>
    <xf numFmtId="0" fontId="0" fillId="5" borderId="8" xfId="0" applyFill="1" applyBorder="1" applyAlignment="1">
      <alignment horizontal="justify" vertical="top" wrapText="1"/>
    </xf>
    <xf numFmtId="0" fontId="0" fillId="5" borderId="4" xfId="0" applyFill="1" applyBorder="1" applyAlignment="1">
      <alignment horizontal="justify" vertical="top" wrapText="1"/>
    </xf>
    <xf numFmtId="0" fontId="0" fillId="5" borderId="19" xfId="0" applyFill="1" applyBorder="1" applyAlignment="1">
      <alignment horizontal="justify" vertical="top" wrapText="1"/>
    </xf>
    <xf numFmtId="0" fontId="0" fillId="5" borderId="6" xfId="0" applyFill="1" applyBorder="1" applyAlignment="1">
      <alignment horizontal="justify" vertical="top" wrapText="1"/>
    </xf>
    <xf numFmtId="0" fontId="0" fillId="5" borderId="0" xfId="0" applyFill="1" applyBorder="1" applyAlignment="1" applyProtection="1">
      <alignment horizontal="justify" wrapText="1"/>
      <protection hidden="1"/>
    </xf>
    <xf numFmtId="0" fontId="0" fillId="5" borderId="18" xfId="0" applyFill="1" applyBorder="1" applyAlignment="1" applyProtection="1">
      <alignment horizontal="justify" wrapText="1"/>
      <protection hidden="1"/>
    </xf>
    <xf numFmtId="0" fontId="0" fillId="5" borderId="8" xfId="0" applyFill="1" applyBorder="1" applyAlignment="1" applyProtection="1">
      <alignment horizontal="justify" wrapText="1"/>
      <protection hidden="1"/>
    </xf>
    <xf numFmtId="0" fontId="0" fillId="5" borderId="4" xfId="0" applyFill="1" applyBorder="1" applyAlignment="1" applyProtection="1">
      <alignment horizontal="justify" wrapText="1"/>
      <protection hidden="1"/>
    </xf>
    <xf numFmtId="0" fontId="0" fillId="5" borderId="19" xfId="0" applyFill="1" applyBorder="1" applyAlignment="1" applyProtection="1">
      <alignment horizontal="justify" wrapText="1"/>
      <protection hidden="1"/>
    </xf>
    <xf numFmtId="0" fontId="0" fillId="5" borderId="6" xfId="0" applyFill="1" applyBorder="1" applyAlignment="1" applyProtection="1">
      <alignment horizontal="justify" wrapText="1"/>
      <protection hidden="1"/>
    </xf>
    <xf numFmtId="0" fontId="0" fillId="5" borderId="0" xfId="0" applyFill="1" applyBorder="1" applyAlignment="1" applyProtection="1">
      <alignment wrapText="1"/>
      <protection hidden="1"/>
    </xf>
    <xf numFmtId="0" fontId="0" fillId="5" borderId="18" xfId="0" applyFill="1" applyBorder="1" applyAlignment="1" applyProtection="1">
      <alignment wrapText="1"/>
      <protection hidden="1"/>
    </xf>
    <xf numFmtId="0" fontId="0" fillId="5" borderId="8" xfId="0" applyFill="1" applyBorder="1" applyAlignment="1" applyProtection="1">
      <alignment wrapText="1"/>
      <protection hidden="1"/>
    </xf>
    <xf numFmtId="0" fontId="0" fillId="5" borderId="4" xfId="0" applyFill="1" applyBorder="1" applyAlignment="1" applyProtection="1">
      <alignment wrapText="1"/>
      <protection hidden="1"/>
    </xf>
    <xf numFmtId="0" fontId="0" fillId="5" borderId="19" xfId="0" applyFill="1" applyBorder="1" applyAlignment="1" applyProtection="1">
      <alignment wrapText="1"/>
      <protection hidden="1"/>
    </xf>
    <xf numFmtId="0" fontId="0" fillId="5" borderId="6" xfId="0" applyFill="1" applyBorder="1" applyAlignment="1" applyProtection="1">
      <alignment wrapText="1"/>
      <protection hidden="1"/>
    </xf>
    <xf numFmtId="0" fontId="25" fillId="5" borderId="0" xfId="0" applyFont="1" applyFill="1" applyBorder="1" applyAlignment="1" applyProtection="1">
      <alignment vertical="top" wrapText="1"/>
      <protection hidden="1"/>
    </xf>
    <xf numFmtId="0" fontId="3" fillId="5" borderId="8" xfId="0" applyFont="1" applyFill="1" applyBorder="1" applyAlignment="1" applyProtection="1">
      <alignment horizontal="justify" wrapText="1"/>
      <protection hidden="1"/>
    </xf>
    <xf numFmtId="0" fontId="3" fillId="5" borderId="0" xfId="0" applyFont="1" applyFill="1" applyBorder="1" applyAlignment="1" applyProtection="1">
      <alignment horizontal="justify" wrapText="1"/>
      <protection hidden="1"/>
    </xf>
    <xf numFmtId="0" fontId="3" fillId="5" borderId="18" xfId="0" applyFont="1" applyFill="1" applyBorder="1" applyAlignment="1" applyProtection="1">
      <alignment horizontal="justify" wrapText="1"/>
      <protection hidden="1"/>
    </xf>
    <xf numFmtId="0" fontId="3" fillId="5" borderId="8" xfId="0" applyFont="1" applyFill="1" applyBorder="1" applyAlignment="1" applyProtection="1">
      <alignment vertical="center" wrapText="1"/>
      <protection hidden="1"/>
    </xf>
    <xf numFmtId="0" fontId="0" fillId="0" borderId="0" xfId="0" applyAlignment="1">
      <alignment vertical="center" wrapText="1"/>
    </xf>
    <xf numFmtId="0" fontId="0" fillId="0" borderId="8" xfId="0" applyBorder="1" applyAlignment="1">
      <alignment vertical="center" wrapText="1"/>
    </xf>
    <xf numFmtId="0" fontId="0" fillId="5" borderId="0" xfId="0" applyFill="1" applyAlignment="1" applyProtection="1">
      <alignment horizontal="justify" wrapText="1"/>
      <protection hidden="1"/>
    </xf>
    <xf numFmtId="0" fontId="2" fillId="3" borderId="19" xfId="0" applyFont="1" applyFill="1" applyBorder="1" applyAlignment="1" applyProtection="1">
      <alignment horizontal="center" vertical="top" wrapText="1"/>
      <protection hidden="1"/>
    </xf>
    <xf numFmtId="0" fontId="4" fillId="5" borderId="8" xfId="0" applyFont="1" applyFill="1" applyBorder="1" applyAlignment="1" applyProtection="1">
      <alignment horizontal="justify" vertical="top" wrapText="1"/>
      <protection hidden="1"/>
    </xf>
    <xf numFmtId="0" fontId="0" fillId="5" borderId="0" xfId="0" applyFill="1" applyBorder="1" applyAlignment="1" applyProtection="1">
      <alignment horizontal="justify" vertical="top" wrapText="1"/>
      <protection hidden="1"/>
    </xf>
    <xf numFmtId="0" fontId="0" fillId="5" borderId="4" xfId="0" applyFill="1" applyBorder="1" applyAlignment="1" applyProtection="1">
      <alignment horizontal="justify" vertical="top" wrapText="1"/>
      <protection hidden="1"/>
    </xf>
    <xf numFmtId="0" fontId="0" fillId="5" borderId="19" xfId="0" applyFill="1" applyBorder="1" applyAlignment="1" applyProtection="1">
      <alignment horizontal="justify" vertical="top" wrapText="1"/>
      <protection hidden="1"/>
    </xf>
    <xf numFmtId="0" fontId="0" fillId="5" borderId="6" xfId="0" applyFill="1" applyBorder="1" applyAlignment="1" applyProtection="1">
      <alignment horizontal="justify" vertical="top" wrapText="1"/>
      <protection hidden="1"/>
    </xf>
    <xf numFmtId="0" fontId="15" fillId="5" borderId="7" xfId="0" applyFont="1" applyFill="1" applyBorder="1" applyAlignment="1" applyProtection="1">
      <alignment horizontal="left" vertical="center" wrapText="1"/>
      <protection hidden="1"/>
    </xf>
    <xf numFmtId="0" fontId="0" fillId="0" borderId="7" xfId="0" applyBorder="1" applyAlignment="1">
      <alignment horizontal="left" vertical="center" wrapText="1"/>
    </xf>
    <xf numFmtId="0" fontId="15" fillId="5" borderId="23" xfId="0" applyFont="1" applyFill="1" applyBorder="1" applyAlignment="1" applyProtection="1">
      <alignment horizontal="left" vertical="top" wrapText="1"/>
      <protection hidden="1"/>
    </xf>
    <xf numFmtId="0" fontId="0" fillId="0" borderId="20"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vertical="center" wrapText="1"/>
    </xf>
    <xf numFmtId="0" fontId="15" fillId="5" borderId="1" xfId="0" applyFont="1" applyFill="1" applyBorder="1" applyAlignment="1" applyProtection="1">
      <alignment horizontal="left" vertical="center"/>
      <protection hidden="1"/>
    </xf>
    <xf numFmtId="0" fontId="15" fillId="5" borderId="17" xfId="0" applyFont="1" applyFill="1" applyBorder="1" applyAlignment="1" applyProtection="1">
      <alignment horizontal="left" vertical="center"/>
      <protection hidden="1"/>
    </xf>
    <xf numFmtId="0" fontId="15" fillId="0" borderId="3" xfId="0" applyFont="1" applyBorder="1" applyAlignment="1">
      <alignment horizontal="left"/>
    </xf>
    <xf numFmtId="0" fontId="15" fillId="5" borderId="23" xfId="0" applyFont="1" applyFill="1" applyBorder="1" applyAlignment="1" applyProtection="1">
      <alignment horizontal="left" vertical="center"/>
      <protection hidden="1"/>
    </xf>
    <xf numFmtId="0" fontId="15" fillId="5" borderId="20" xfId="0" applyFont="1" applyFill="1" applyBorder="1" applyAlignment="1" applyProtection="1">
      <alignment horizontal="left" vertical="center"/>
      <protection hidden="1"/>
    </xf>
    <xf numFmtId="0" fontId="15" fillId="0" borderId="22" xfId="0" applyFont="1" applyBorder="1" applyAlignment="1">
      <alignment horizontal="left"/>
    </xf>
    <xf numFmtId="0" fontId="6" fillId="5" borderId="23" xfId="0" applyFont="1" applyFill="1" applyBorder="1" applyAlignment="1" applyProtection="1">
      <alignment horizontal="center" vertical="center"/>
      <protection hidden="1"/>
    </xf>
    <xf numFmtId="0" fontId="6" fillId="5" borderId="20" xfId="0" applyFont="1" applyFill="1" applyBorder="1" applyAlignment="1" applyProtection="1">
      <alignment horizontal="center" vertical="center"/>
      <protection hidden="1"/>
    </xf>
    <xf numFmtId="0" fontId="6" fillId="0" borderId="22" xfId="0" applyFont="1" applyBorder="1" applyAlignment="1"/>
    <xf numFmtId="0" fontId="3" fillId="5" borderId="8" xfId="0" applyFont="1" applyFill="1" applyBorder="1" applyAlignment="1" applyProtection="1">
      <alignment horizontal="center" vertical="top" wrapText="1"/>
      <protection hidden="1"/>
    </xf>
    <xf numFmtId="0" fontId="0" fillId="0" borderId="0" xfId="0" applyAlignment="1" applyProtection="1">
      <alignment horizontal="center" vertical="top" wrapText="1"/>
      <protection hidden="1"/>
    </xf>
    <xf numFmtId="0" fontId="0" fillId="0" borderId="18" xfId="0" applyBorder="1" applyAlignment="1" applyProtection="1">
      <alignment horizontal="center" vertical="top" wrapText="1"/>
      <protection hidden="1"/>
    </xf>
    <xf numFmtId="0" fontId="0" fillId="0" borderId="8" xfId="0" applyBorder="1" applyAlignment="1" applyProtection="1">
      <alignment horizontal="center" vertical="top" wrapText="1"/>
      <protection hidden="1"/>
    </xf>
    <xf numFmtId="0" fontId="0" fillId="0" borderId="0" xfId="0" applyAlignment="1" applyProtection="1">
      <alignment vertical="top" wrapText="1"/>
      <protection hidden="1"/>
    </xf>
    <xf numFmtId="0" fontId="0" fillId="0" borderId="18" xfId="0" applyBorder="1" applyAlignment="1" applyProtection="1">
      <alignment vertical="top" wrapText="1"/>
      <protection hidden="1"/>
    </xf>
    <xf numFmtId="0" fontId="0" fillId="0" borderId="8" xfId="0" applyBorder="1" applyAlignment="1" applyProtection="1">
      <alignment vertical="top" wrapText="1"/>
      <protection hidden="1"/>
    </xf>
    <xf numFmtId="49" fontId="27" fillId="0" borderId="27" xfId="0" applyNumberFormat="1" applyFont="1" applyFill="1" applyBorder="1" applyAlignment="1" applyProtection="1">
      <protection hidden="1"/>
    </xf>
    <xf numFmtId="0" fontId="0" fillId="0" borderId="3" xfId="0" applyFill="1" applyBorder="1" applyAlignment="1" applyProtection="1">
      <alignment horizontal="center" vertical="top" wrapText="1"/>
      <protection hidden="1"/>
    </xf>
    <xf numFmtId="15" fontId="27" fillId="0" borderId="27" xfId="0" applyNumberFormat="1" applyFont="1" applyFill="1" applyBorder="1" applyAlignment="1" applyProtection="1">
      <alignment horizontal="left"/>
      <protection hidden="1"/>
    </xf>
    <xf numFmtId="49" fontId="5" fillId="0" borderId="23" xfId="0" applyNumberFormat="1" applyFont="1" applyFill="1" applyBorder="1" applyAlignment="1" applyProtection="1">
      <alignment horizontal="center" shrinkToFit="1"/>
      <protection hidden="1"/>
    </xf>
    <xf numFmtId="49" fontId="5" fillId="0" borderId="20" xfId="0" applyNumberFormat="1" applyFont="1" applyFill="1" applyBorder="1" applyAlignment="1" applyProtection="1">
      <alignment horizontal="center" shrinkToFit="1"/>
      <protection hidden="1"/>
    </xf>
    <xf numFmtId="49" fontId="5" fillId="0" borderId="22" xfId="0" applyNumberFormat="1" applyFont="1" applyFill="1" applyBorder="1" applyAlignment="1" applyProtection="1">
      <alignment horizontal="center" shrinkToFit="1"/>
      <protection hidden="1"/>
    </xf>
  </cellXfs>
  <cellStyles count="3">
    <cellStyle name="Currency" xfId="1" builtinId="4"/>
    <cellStyle name="Hyperlink" xfId="2" builtinId="8"/>
    <cellStyle name="Normal" xfId="0" builtinId="0"/>
  </cellStyles>
  <dxfs count="35">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ill>
        <patternFill>
          <bgColor indexed="44"/>
        </patternFill>
      </fill>
    </dxf>
    <dxf>
      <fill>
        <patternFill>
          <bgColor indexed="10"/>
        </patternFill>
      </fill>
    </dxf>
    <dxf>
      <font>
        <condense val="0"/>
        <extend val="0"/>
        <color indexed="9"/>
      </font>
      <fill>
        <patternFill patternType="none">
          <bgColor indexed="65"/>
        </patternFill>
      </fill>
    </dxf>
    <dxf>
      <font>
        <condense val="0"/>
        <extend val="0"/>
        <color auto="1"/>
      </font>
      <fill>
        <patternFill>
          <bgColor indexed="44"/>
        </patternFill>
      </fill>
    </dxf>
    <dxf>
      <font>
        <condense val="0"/>
        <extend val="0"/>
        <color indexed="9"/>
      </font>
      <fill>
        <patternFill patternType="none">
          <bgColor indexed="65"/>
        </patternFill>
      </fill>
    </dxf>
    <dxf>
      <fill>
        <patternFill>
          <bgColor indexed="44"/>
        </patternFill>
      </fill>
    </dxf>
    <dxf>
      <font>
        <condense val="0"/>
        <extend val="0"/>
        <color indexed="10"/>
      </font>
    </dxf>
    <dxf>
      <fill>
        <patternFill>
          <bgColor indexed="44"/>
        </patternFill>
      </fill>
    </dxf>
    <dxf>
      <fill>
        <patternFill>
          <bgColor indexed="44"/>
        </patternFill>
      </fill>
    </dxf>
    <dxf>
      <font>
        <condense val="0"/>
        <extend val="0"/>
        <color indexed="55"/>
      </font>
    </dxf>
    <dxf>
      <font>
        <condense val="0"/>
        <extend val="0"/>
        <color indexed="8"/>
      </font>
      <fill>
        <patternFill>
          <bgColor indexed="13"/>
        </patternFill>
      </fill>
      <border>
        <left style="thin">
          <color indexed="8"/>
        </left>
        <right style="thin">
          <color indexed="8"/>
        </right>
        <top style="thin">
          <color indexed="8"/>
        </top>
        <bottom style="thin">
          <color indexed="8"/>
        </bottom>
      </border>
    </dxf>
    <dxf>
      <fill>
        <patternFill>
          <bgColor indexed="10"/>
        </patternFill>
      </fill>
    </dxf>
    <dxf>
      <font>
        <condense val="0"/>
        <extend val="0"/>
        <color indexed="9"/>
      </font>
      <fill>
        <patternFill patternType="none">
          <bgColor indexed="65"/>
        </patternFill>
      </fill>
    </dxf>
    <dxf>
      <font>
        <condense val="0"/>
        <extend val="0"/>
        <color auto="1"/>
      </font>
      <fill>
        <patternFill>
          <bgColor indexed="44"/>
        </patternFill>
      </fill>
    </dxf>
    <dxf>
      <fill>
        <patternFill>
          <bgColor indexed="10"/>
        </patternFill>
      </fill>
    </dxf>
    <dxf>
      <font>
        <condense val="0"/>
        <extend val="0"/>
        <color indexed="9"/>
      </font>
      <fill>
        <patternFill patternType="none">
          <bgColor indexed="65"/>
        </patternFill>
      </fill>
    </dxf>
    <dxf>
      <font>
        <condense val="0"/>
        <extend val="0"/>
        <color auto="1"/>
      </font>
      <fill>
        <patternFill>
          <bgColor indexed="44"/>
        </patternFill>
      </fill>
    </dxf>
    <dxf>
      <fill>
        <patternFill>
          <bgColor indexed="44"/>
        </patternFill>
      </fill>
    </dxf>
    <dxf>
      <fill>
        <patternFill>
          <bgColor indexed="44"/>
        </patternFill>
      </fill>
    </dxf>
    <dxf>
      <fill>
        <patternFill>
          <bgColor indexed="10"/>
        </patternFill>
      </fill>
    </dxf>
    <dxf>
      <fill>
        <patternFill>
          <bgColor indexed="13"/>
        </patternFill>
      </fill>
      <border>
        <left style="thin">
          <color indexed="64"/>
        </left>
        <right style="thin">
          <color indexed="64"/>
        </right>
        <top style="thin">
          <color indexed="64"/>
        </top>
        <bottom style="thin">
          <color indexed="64"/>
        </bottom>
      </border>
    </dxf>
    <dxf>
      <fill>
        <patternFill>
          <bgColor indexed="10"/>
        </patternFill>
      </fill>
    </dxf>
    <dxf>
      <fill>
        <patternFill>
          <bgColor indexed="44"/>
        </patternFill>
      </fill>
    </dxf>
    <dxf>
      <font>
        <condense val="0"/>
        <extend val="0"/>
        <color indexed="8"/>
      </font>
      <fill>
        <patternFill>
          <bgColor indexed="10"/>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4F4F4"/>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D9B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Drop" dropStyle="combo" dx="22" fmlaLink="$AL$5" fmlaRange="$AK$3:$AK$4" sel="1" val="0"/>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wmf"/></Relationships>
</file>

<file path=xl/drawings/_rels/drawing6.xml.rels><?xml version="1.0" encoding="UTF-8" standalone="yes"?>
<Relationships xmlns="http://schemas.openxmlformats.org/package/2006/relationships"><Relationship Id="rId2" Type="http://schemas.openxmlformats.org/officeDocument/2006/relationships/hyperlink" Target="http://www.pactech.co.uk/" TargetMode="External"/><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16</xdr:col>
      <xdr:colOff>85725</xdr:colOff>
      <xdr:row>7</xdr:row>
      <xdr:rowOff>95250</xdr:rowOff>
    </xdr:from>
    <xdr:to>
      <xdr:col>17</xdr:col>
      <xdr:colOff>409575</xdr:colOff>
      <xdr:row>8</xdr:row>
      <xdr:rowOff>323850</xdr:rowOff>
    </xdr:to>
    <xdr:grpSp>
      <xdr:nvGrpSpPr>
        <xdr:cNvPr id="15968" name="Group 148"/>
        <xdr:cNvGrpSpPr>
          <a:grpSpLocks/>
        </xdr:cNvGrpSpPr>
      </xdr:nvGrpSpPr>
      <xdr:grpSpPr bwMode="auto">
        <a:xfrm>
          <a:off x="7078196" y="1439956"/>
          <a:ext cx="1074644" cy="575982"/>
          <a:chOff x="956" y="176"/>
          <a:chExt cx="143" cy="73"/>
        </a:xfrm>
      </xdr:grpSpPr>
      <xdr:sp macro="" textlink="">
        <xdr:nvSpPr>
          <xdr:cNvPr id="15977" name="AutoShape 147"/>
          <xdr:cNvSpPr>
            <a:spLocks noChangeArrowheads="1"/>
          </xdr:cNvSpPr>
        </xdr:nvSpPr>
        <xdr:spPr bwMode="auto">
          <a:xfrm>
            <a:off x="956" y="176"/>
            <a:ext cx="143" cy="73"/>
          </a:xfrm>
          <a:prstGeom prst="roundRect">
            <a:avLst>
              <a:gd name="adj" fmla="val 16667"/>
            </a:avLst>
          </a:prstGeom>
          <a:solidFill>
            <a:srgbClr val="C0C0C0"/>
          </a:solidFill>
          <a:ln w="9525">
            <a:solidFill>
              <a:srgbClr val="000000"/>
            </a:solidFill>
            <a:round/>
            <a:headEnd/>
            <a:tailEnd/>
          </a:ln>
        </xdr:spPr>
      </xdr:sp>
      <xdr:sp macro="" textlink="">
        <xdr:nvSpPr>
          <xdr:cNvPr id="1100" name="Text Box 76"/>
          <xdr:cNvSpPr txBox="1">
            <a:spLocks noChangeArrowheads="1"/>
          </xdr:cNvSpPr>
        </xdr:nvSpPr>
        <xdr:spPr bwMode="auto">
          <a:xfrm>
            <a:off x="976" y="178"/>
            <a:ext cx="103" cy="28"/>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900" b="0" i="0" strike="noStrike">
                <a:solidFill>
                  <a:srgbClr val="000000"/>
                </a:solidFill>
                <a:latin typeface="Arial"/>
                <a:cs typeface="Arial"/>
              </a:rPr>
              <a:t>S or X bars ?</a:t>
            </a:r>
          </a:p>
        </xdr:txBody>
      </xdr:sp>
    </xdr:grpSp>
    <xdr:clientData/>
  </xdr:twoCellAnchor>
  <xdr:oneCellAnchor>
    <xdr:from>
      <xdr:col>13</xdr:col>
      <xdr:colOff>228600</xdr:colOff>
      <xdr:row>1</xdr:row>
      <xdr:rowOff>0</xdr:rowOff>
    </xdr:from>
    <xdr:ext cx="247222" cy="308386"/>
    <xdr:sp macro="" textlink="">
      <xdr:nvSpPr>
        <xdr:cNvPr id="1170" name="Text Box 146"/>
        <xdr:cNvSpPr txBox="1">
          <a:spLocks noChangeArrowheads="1"/>
        </xdr:cNvSpPr>
      </xdr:nvSpPr>
      <xdr:spPr bwMode="auto">
        <a:xfrm>
          <a:off x="6067425" y="95250"/>
          <a:ext cx="323850" cy="333375"/>
        </a:xfrm>
        <a:prstGeom prst="rect">
          <a:avLst/>
        </a:prstGeom>
        <a:noFill/>
        <a:ln w="9525">
          <a:noFill/>
          <a:miter lim="800000"/>
          <a:headEnd/>
          <a:tailEnd/>
        </a:ln>
        <a:effectLst>
          <a:outerShdw dist="35921" dir="2700000" algn="ctr" rotWithShape="0">
            <a:srgbClr val="000000"/>
          </a:outerShdw>
        </a:effectLst>
      </xdr:spPr>
      <xdr:txBody>
        <a:bodyPr wrap="none" lIns="18288" tIns="18288" rIns="0" bIns="0" anchor="t" upright="1">
          <a:spAutoFit/>
        </a:bodyPr>
        <a:lstStyle/>
        <a:p>
          <a:pPr algn="l" rtl="0">
            <a:defRPr sz="1000"/>
          </a:pPr>
          <a:r>
            <a:rPr lang="en-US" sz="800" b="0" i="0" strike="noStrike">
              <a:solidFill>
                <a:srgbClr val="000000"/>
              </a:solidFill>
              <a:latin typeface="Arial"/>
              <a:cs typeface="Arial"/>
            </a:rPr>
            <a:t>Rev</a:t>
          </a:r>
        </a:p>
        <a:p>
          <a:pPr algn="l" rtl="0">
            <a:defRPr sz="1000"/>
          </a:pPr>
          <a:r>
            <a:rPr lang="en-US" sz="800" b="0" i="0" strike="noStrike">
              <a:solidFill>
                <a:srgbClr val="000000"/>
              </a:solidFill>
              <a:latin typeface="Arial"/>
              <a:cs typeface="Arial"/>
            </a:rPr>
            <a:t>letter</a:t>
          </a:r>
        </a:p>
      </xdr:txBody>
    </xdr:sp>
    <xdr:clientData/>
  </xdr:oneCellAnchor>
  <xdr:oneCellAnchor>
    <xdr:from>
      <xdr:col>3</xdr:col>
      <xdr:colOff>38100</xdr:colOff>
      <xdr:row>8</xdr:row>
      <xdr:rowOff>171450</xdr:rowOff>
    </xdr:from>
    <xdr:ext cx="562142" cy="160750"/>
    <xdr:sp macro="" textlink="">
      <xdr:nvSpPr>
        <xdr:cNvPr id="1184" name="Rectangle 160"/>
        <xdr:cNvSpPr>
          <a:spLocks noChangeArrowheads="1"/>
        </xdr:cNvSpPr>
      </xdr:nvSpPr>
      <xdr:spPr bwMode="auto">
        <a:xfrm>
          <a:off x="1483659" y="1863538"/>
          <a:ext cx="562142" cy="160750"/>
        </a:xfrm>
        <a:prstGeom prst="rect">
          <a:avLst/>
        </a:prstGeom>
        <a:noFill/>
        <a:ln w="9525">
          <a:noFill/>
          <a:miter lim="800000"/>
          <a:headEnd/>
          <a:tailEnd/>
        </a:ln>
        <a:effectLst/>
      </xdr:spPr>
      <xdr:txBody>
        <a:bodyPr wrap="none" lIns="18288" tIns="18288" rIns="18288" bIns="18288" anchor="ctr" upright="1">
          <a:spAutoFit/>
        </a:bodyPr>
        <a:lstStyle/>
        <a:p>
          <a:pPr algn="ctr" rtl="0">
            <a:defRPr sz="1000"/>
          </a:pPr>
          <a:r>
            <a:rPr lang="en-US" sz="800" b="0" i="0" strike="noStrike">
              <a:solidFill>
                <a:srgbClr val="808080"/>
              </a:solidFill>
              <a:latin typeface="Tahoma"/>
              <a:cs typeface="Tahoma"/>
            </a:rPr>
            <a:t>type     size</a:t>
          </a:r>
        </a:p>
      </xdr:txBody>
    </xdr:sp>
    <xdr:clientData fPrintsWithSheet="0"/>
  </xdr:oneCellAnchor>
  <xdr:twoCellAnchor>
    <xdr:from>
      <xdr:col>1</xdr:col>
      <xdr:colOff>9525</xdr:colOff>
      <xdr:row>35</xdr:row>
      <xdr:rowOff>76200</xdr:rowOff>
    </xdr:from>
    <xdr:to>
      <xdr:col>8</xdr:col>
      <xdr:colOff>114300</xdr:colOff>
      <xdr:row>37</xdr:row>
      <xdr:rowOff>171450</xdr:rowOff>
    </xdr:to>
    <xdr:sp macro="" textlink="">
      <xdr:nvSpPr>
        <xdr:cNvPr id="15971" name="Rectangle 178"/>
        <xdr:cNvSpPr>
          <a:spLocks noChangeArrowheads="1"/>
        </xdr:cNvSpPr>
      </xdr:nvSpPr>
      <xdr:spPr bwMode="auto">
        <a:xfrm>
          <a:off x="133350" y="10572750"/>
          <a:ext cx="3400425" cy="476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361950</xdr:colOff>
      <xdr:row>35</xdr:row>
      <xdr:rowOff>0</xdr:rowOff>
    </xdr:from>
    <xdr:ext cx="1063240" cy="170560"/>
    <xdr:sp macro="" textlink="">
      <xdr:nvSpPr>
        <xdr:cNvPr id="1200" name="Text Box 176"/>
        <xdr:cNvSpPr txBox="1">
          <a:spLocks noChangeArrowheads="1"/>
        </xdr:cNvSpPr>
      </xdr:nvSpPr>
      <xdr:spPr bwMode="auto">
        <a:xfrm>
          <a:off x="1303244" y="10623176"/>
          <a:ext cx="1063240" cy="170560"/>
        </a:xfrm>
        <a:prstGeom prst="rect">
          <a:avLst/>
        </a:prstGeom>
        <a:solidFill>
          <a:srgbClr val="969696"/>
        </a:solidFill>
        <a:ln w="9525">
          <a:noFill/>
          <a:miter lim="800000"/>
          <a:headEnd/>
          <a:tailEnd/>
        </a:ln>
        <a:effectLst/>
      </xdr:spPr>
      <xdr:txBody>
        <a:bodyPr wrap="none" lIns="18288" tIns="22860" rIns="18288" bIns="0" anchor="t" upright="1">
          <a:spAutoFit/>
        </a:bodyPr>
        <a:lstStyle/>
        <a:p>
          <a:pPr algn="ctr" rtl="0">
            <a:defRPr sz="1000"/>
          </a:pPr>
          <a:r>
            <a:rPr lang="en-US" sz="1000" b="0" i="0" strike="noStrike">
              <a:solidFill>
                <a:srgbClr val="000000"/>
              </a:solidFill>
              <a:latin typeface="Arial"/>
              <a:cs typeface="Arial"/>
            </a:rPr>
            <a:t>Sheet Commands</a:t>
          </a:r>
        </a:p>
      </xdr:txBody>
    </xdr:sp>
    <xdr:clientData/>
  </xdr:oneCellAnchor>
  <xdr:twoCellAnchor>
    <xdr:from>
      <xdr:col>9</xdr:col>
      <xdr:colOff>285750</xdr:colOff>
      <xdr:row>35</xdr:row>
      <xdr:rowOff>76200</xdr:rowOff>
    </xdr:from>
    <xdr:to>
      <xdr:col>13</xdr:col>
      <xdr:colOff>485775</xdr:colOff>
      <xdr:row>37</xdr:row>
      <xdr:rowOff>171450</xdr:rowOff>
    </xdr:to>
    <xdr:sp macro="" textlink="">
      <xdr:nvSpPr>
        <xdr:cNvPr id="15973" name="Rectangle 186"/>
        <xdr:cNvSpPr>
          <a:spLocks noChangeArrowheads="1"/>
        </xdr:cNvSpPr>
      </xdr:nvSpPr>
      <xdr:spPr bwMode="auto">
        <a:xfrm>
          <a:off x="4210050" y="10572750"/>
          <a:ext cx="2114550" cy="476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400050</xdr:colOff>
      <xdr:row>35</xdr:row>
      <xdr:rowOff>0</xdr:rowOff>
    </xdr:from>
    <xdr:ext cx="1048878" cy="170560"/>
    <xdr:sp macro="" textlink="">
      <xdr:nvSpPr>
        <xdr:cNvPr id="1211" name="Text Box 187"/>
        <xdr:cNvSpPr txBox="1">
          <a:spLocks noChangeArrowheads="1"/>
        </xdr:cNvSpPr>
      </xdr:nvSpPr>
      <xdr:spPr bwMode="auto">
        <a:xfrm>
          <a:off x="4714315" y="10623176"/>
          <a:ext cx="1048878" cy="170560"/>
        </a:xfrm>
        <a:prstGeom prst="rect">
          <a:avLst/>
        </a:prstGeom>
        <a:solidFill>
          <a:srgbClr val="969696"/>
        </a:solidFill>
        <a:ln w="9525">
          <a:noFill/>
          <a:miter lim="800000"/>
          <a:headEnd/>
          <a:tailEnd/>
        </a:ln>
        <a:effectLst/>
      </xdr:spPr>
      <xdr:txBody>
        <a:bodyPr wrap="none" lIns="18288" tIns="22860" rIns="18288" bIns="0" anchor="t" upright="1">
          <a:spAutoFit/>
        </a:bodyPr>
        <a:lstStyle/>
        <a:p>
          <a:pPr algn="ctr" rtl="0">
            <a:defRPr sz="1000"/>
          </a:pPr>
          <a:r>
            <a:rPr lang="en-US" sz="1000" b="0" i="0" strike="noStrike">
              <a:solidFill>
                <a:srgbClr val="000000"/>
              </a:solidFill>
              <a:latin typeface="Arial"/>
              <a:cs typeface="Arial"/>
            </a:rPr>
            <a:t>Other Commands</a:t>
          </a:r>
        </a:p>
      </xdr:txBody>
    </xdr:sp>
    <xdr:clientData/>
  </xdr:oneCellAnchor>
  <mc:AlternateContent xmlns:mc="http://schemas.openxmlformats.org/markup-compatibility/2006">
    <mc:Choice xmlns:a14="http://schemas.microsoft.com/office/drawing/2010/main" Requires="a14">
      <xdr:twoCellAnchor editAs="oneCell">
        <xdr:from>
          <xdr:col>16</xdr:col>
          <xdr:colOff>304800</xdr:colOff>
          <xdr:row>1</xdr:row>
          <xdr:rowOff>171450</xdr:rowOff>
        </xdr:from>
        <xdr:to>
          <xdr:col>17</xdr:col>
          <xdr:colOff>161925</xdr:colOff>
          <xdr:row>2</xdr:row>
          <xdr:rowOff>114300</xdr:rowOff>
        </xdr:to>
        <xdr:sp macro="" textlink="">
          <xdr:nvSpPr>
            <xdr:cNvPr id="1185" name="Button 161" hidden="1">
              <a:extLst>
                <a:ext uri="{63B3BB69-23CF-44E3-9099-C40C66FF867C}">
                  <a14:compatExt spid="_x0000_s118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Open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3</xdr:row>
          <xdr:rowOff>114300</xdr:rowOff>
        </xdr:from>
        <xdr:to>
          <xdr:col>17</xdr:col>
          <xdr:colOff>161925</xdr:colOff>
          <xdr:row>4</xdr:row>
          <xdr:rowOff>123825</xdr:rowOff>
        </xdr:to>
        <xdr:sp macro="" textlink="">
          <xdr:nvSpPr>
            <xdr:cNvPr id="1188" name="Button 164" hidden="1">
              <a:extLst>
                <a:ext uri="{63B3BB69-23CF-44E3-9099-C40C66FF867C}">
                  <a14:compatExt spid="_x0000_s118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Save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5</xdr:row>
          <xdr:rowOff>123825</xdr:rowOff>
        </xdr:from>
        <xdr:to>
          <xdr:col>17</xdr:col>
          <xdr:colOff>161925</xdr:colOff>
          <xdr:row>6</xdr:row>
          <xdr:rowOff>133350</xdr:rowOff>
        </xdr:to>
        <xdr:sp macro="" textlink="">
          <xdr:nvSpPr>
            <xdr:cNvPr id="1189" name="Button 165" hidden="1">
              <a:extLst>
                <a:ext uri="{63B3BB69-23CF-44E3-9099-C40C66FF867C}">
                  <a14:compatExt spid="_x0000_s118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1" i="0" u="none" strike="noStrike" baseline="0">
                  <a:solidFill>
                    <a:srgbClr val="FF0000"/>
                  </a:solidFill>
                  <a:latin typeface="Arial"/>
                  <a:cs typeface="Arial"/>
                </a:rPr>
                <a:t>Exit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104775</xdr:colOff>
          <xdr:row>36</xdr:row>
          <xdr:rowOff>47625</xdr:rowOff>
        </xdr:from>
        <xdr:to>
          <xdr:col>8</xdr:col>
          <xdr:colOff>19050</xdr:colOff>
          <xdr:row>37</xdr:row>
          <xdr:rowOff>76200</xdr:rowOff>
        </xdr:to>
        <xdr:grpSp>
          <xdr:nvGrpSpPr>
            <xdr:cNvPr id="15975" name="Group 183"/>
            <xdr:cNvGrpSpPr>
              <a:grpSpLocks/>
            </xdr:cNvGrpSpPr>
          </xdr:nvGrpSpPr>
          <xdr:grpSpPr bwMode="auto">
            <a:xfrm>
              <a:off x="228040" y="10861301"/>
              <a:ext cx="3197598" cy="219075"/>
              <a:chOff x="31" y="1411"/>
              <a:chExt cx="433" cy="30"/>
            </a:xfrm>
          </xdr:grpSpPr>
          <xdr:sp macro="" textlink="">
            <xdr:nvSpPr>
              <xdr:cNvPr id="1087" name="Button 63" hidden="1">
                <a:extLst>
                  <a:ext uri="{63B3BB69-23CF-44E3-9099-C40C66FF867C}">
                    <a14:compatExt spid="_x0000_s1087"/>
                  </a:ext>
                </a:extLst>
              </xdr:cNvPr>
              <xdr:cNvSpPr/>
            </xdr:nvSpPr>
            <xdr:spPr bwMode="auto">
              <a:xfrm>
                <a:off x="293" y="1411"/>
                <a:ext cx="84" cy="3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Print</a:t>
                </a:r>
              </a:p>
            </xdr:txBody>
          </xdr:sp>
          <xdr:sp macro="" textlink="">
            <xdr:nvSpPr>
              <xdr:cNvPr id="1131" name="Button 107" hidden="1">
                <a:extLst>
                  <a:ext uri="{63B3BB69-23CF-44E3-9099-C40C66FF867C}">
                    <a14:compatExt spid="_x0000_s1131"/>
                  </a:ext>
                </a:extLst>
              </xdr:cNvPr>
              <xdr:cNvSpPr/>
            </xdr:nvSpPr>
            <xdr:spPr bwMode="auto">
              <a:xfrm>
                <a:off x="205" y="1411"/>
                <a:ext cx="84" cy="3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1" i="0" u="none" strike="noStrike" baseline="0">
                    <a:solidFill>
                      <a:srgbClr val="FF0000"/>
                    </a:solidFill>
                    <a:latin typeface="Arial"/>
                    <a:cs typeface="Arial"/>
                  </a:rPr>
                  <a:t>Clear</a:t>
                </a:r>
              </a:p>
            </xdr:txBody>
          </xdr:sp>
          <xdr:sp macro="" textlink="">
            <xdr:nvSpPr>
              <xdr:cNvPr id="1186" name="Button 162" hidden="1">
                <a:extLst>
                  <a:ext uri="{63B3BB69-23CF-44E3-9099-C40C66FF867C}">
                    <a14:compatExt spid="_x0000_s1186"/>
                  </a:ext>
                </a:extLst>
              </xdr:cNvPr>
              <xdr:cNvSpPr/>
            </xdr:nvSpPr>
            <xdr:spPr bwMode="auto">
              <a:xfrm>
                <a:off x="380" y="1411"/>
                <a:ext cx="84" cy="3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Print All</a:t>
                </a:r>
              </a:p>
            </xdr:txBody>
          </xdr:sp>
          <xdr:sp macro="" textlink="">
            <xdr:nvSpPr>
              <xdr:cNvPr id="1174" name="Button 150" hidden="1">
                <a:extLst>
                  <a:ext uri="{63B3BB69-23CF-44E3-9099-C40C66FF867C}">
                    <a14:compatExt spid="_x0000_s1174"/>
                  </a:ext>
                </a:extLst>
              </xdr:cNvPr>
              <xdr:cNvSpPr/>
            </xdr:nvSpPr>
            <xdr:spPr bwMode="auto">
              <a:xfrm>
                <a:off x="31" y="1411"/>
                <a:ext cx="84" cy="3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New</a:t>
                </a:r>
              </a:p>
            </xdr:txBody>
          </xdr:sp>
          <xdr:sp macro="" textlink="">
            <xdr:nvSpPr>
              <xdr:cNvPr id="1175" name="Button 151" hidden="1">
                <a:extLst>
                  <a:ext uri="{63B3BB69-23CF-44E3-9099-C40C66FF867C}">
                    <a14:compatExt spid="_x0000_s1175"/>
                  </a:ext>
                </a:extLst>
              </xdr:cNvPr>
              <xdr:cNvSpPr/>
            </xdr:nvSpPr>
            <xdr:spPr bwMode="auto">
              <a:xfrm>
                <a:off x="118" y="1411"/>
                <a:ext cx="84" cy="3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1" i="0" u="none" strike="noStrike" baseline="0">
                    <a:solidFill>
                      <a:srgbClr val="FF0000"/>
                    </a:solidFill>
                    <a:latin typeface="Arial"/>
                    <a:cs typeface="Arial"/>
                  </a:rPr>
                  <a:t>Delete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381000</xdr:colOff>
          <xdr:row>36</xdr:row>
          <xdr:rowOff>47625</xdr:rowOff>
        </xdr:from>
        <xdr:to>
          <xdr:col>13</xdr:col>
          <xdr:colOff>390525</xdr:colOff>
          <xdr:row>37</xdr:row>
          <xdr:rowOff>76200</xdr:rowOff>
        </xdr:to>
        <xdr:grpSp>
          <xdr:nvGrpSpPr>
            <xdr:cNvPr id="15976" name="Group 193"/>
            <xdr:cNvGrpSpPr>
              <a:grpSpLocks/>
            </xdr:cNvGrpSpPr>
          </xdr:nvGrpSpPr>
          <xdr:grpSpPr bwMode="auto">
            <a:xfrm>
              <a:off x="4291853" y="10861301"/>
              <a:ext cx="1925731" cy="219075"/>
              <a:chOff x="580" y="1411"/>
              <a:chExt cx="260" cy="30"/>
            </a:xfrm>
          </xdr:grpSpPr>
          <xdr:sp macro="" textlink="">
            <xdr:nvSpPr>
              <xdr:cNvPr id="1197" name="Button 173" hidden="1">
                <a:extLst>
                  <a:ext uri="{63B3BB69-23CF-44E3-9099-C40C66FF867C}">
                    <a14:compatExt spid="_x0000_s1197"/>
                  </a:ext>
                </a:extLst>
              </xdr:cNvPr>
              <xdr:cNvSpPr/>
            </xdr:nvSpPr>
            <xdr:spPr bwMode="auto">
              <a:xfrm>
                <a:off x="580" y="1411"/>
                <a:ext cx="84" cy="3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Export</a:t>
                </a:r>
              </a:p>
            </xdr:txBody>
          </xdr:sp>
          <xdr:sp macro="" textlink="">
            <xdr:nvSpPr>
              <xdr:cNvPr id="1208" name="Button 184" hidden="1">
                <a:extLst>
                  <a:ext uri="{63B3BB69-23CF-44E3-9099-C40C66FF867C}">
                    <a14:compatExt spid="_x0000_s1208"/>
                  </a:ext>
                </a:extLst>
              </xdr:cNvPr>
              <xdr:cNvSpPr/>
            </xdr:nvSpPr>
            <xdr:spPr bwMode="auto">
              <a:xfrm>
                <a:off x="668" y="1411"/>
                <a:ext cx="84" cy="3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Reset</a:t>
                </a:r>
              </a:p>
            </xdr:txBody>
          </xdr:sp>
          <xdr:sp macro="" textlink="">
            <xdr:nvSpPr>
              <xdr:cNvPr id="1209" name="Button 185" hidden="1">
                <a:extLst>
                  <a:ext uri="{63B3BB69-23CF-44E3-9099-C40C66FF867C}">
                    <a14:compatExt spid="_x0000_s1209"/>
                  </a:ext>
                </a:extLst>
              </xdr:cNvPr>
              <xdr:cNvSpPr/>
            </xdr:nvSpPr>
            <xdr:spPr bwMode="auto">
              <a:xfrm>
                <a:off x="756" y="1411"/>
                <a:ext cx="84" cy="3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Mark</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115</xdr:col>
          <xdr:colOff>409575</xdr:colOff>
          <xdr:row>8</xdr:row>
          <xdr:rowOff>161925</xdr:rowOff>
        </xdr:from>
        <xdr:to>
          <xdr:col>116</xdr:col>
          <xdr:colOff>428625</xdr:colOff>
          <xdr:row>9</xdr:row>
          <xdr:rowOff>38100</xdr:rowOff>
        </xdr:to>
        <xdr:sp macro="" textlink="">
          <xdr:nvSpPr>
            <xdr:cNvPr id="1214" name="Button 190" hidden="1">
              <a:extLst>
                <a:ext uri="{63B3BB69-23CF-44E3-9099-C40C66FF867C}">
                  <a14:compatExt spid="_x0000_s121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115</xdr:col>
          <xdr:colOff>409575</xdr:colOff>
          <xdr:row>10</xdr:row>
          <xdr:rowOff>228600</xdr:rowOff>
        </xdr:from>
        <xdr:to>
          <xdr:col>116</xdr:col>
          <xdr:colOff>428625</xdr:colOff>
          <xdr:row>11</xdr:row>
          <xdr:rowOff>104775</xdr:rowOff>
        </xdr:to>
        <xdr:sp macro="" textlink="">
          <xdr:nvSpPr>
            <xdr:cNvPr id="1215" name="Button 191" hidden="1">
              <a:extLst>
                <a:ext uri="{63B3BB69-23CF-44E3-9099-C40C66FF867C}">
                  <a14:compatExt spid="_x0000_s121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Totals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115</xdr:col>
          <xdr:colOff>409575</xdr:colOff>
          <xdr:row>9</xdr:row>
          <xdr:rowOff>190500</xdr:rowOff>
        </xdr:from>
        <xdr:to>
          <xdr:col>116</xdr:col>
          <xdr:colOff>428625</xdr:colOff>
          <xdr:row>10</xdr:row>
          <xdr:rowOff>66675</xdr:rowOff>
        </xdr:to>
        <xdr:sp macro="" textlink="">
          <xdr:nvSpPr>
            <xdr:cNvPr id="1216" name="Button 192" hidden="1">
              <a:extLst>
                <a:ext uri="{63B3BB69-23CF-44E3-9099-C40C66FF867C}">
                  <a14:compatExt spid="_x0000_s1216"/>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Print All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8</xdr:row>
          <xdr:rowOff>9525</xdr:rowOff>
        </xdr:from>
        <xdr:to>
          <xdr:col>17</xdr:col>
          <xdr:colOff>352425</xdr:colOff>
          <xdr:row>8</xdr:row>
          <xdr:rowOff>209550</xdr:rowOff>
        </xdr:to>
        <xdr:sp macro="" textlink="">
          <xdr:nvSpPr>
            <xdr:cNvPr id="1107" name="Drop Down 83" hidden="1">
              <a:extLst>
                <a:ext uri="{63B3BB69-23CF-44E3-9099-C40C66FF867C}">
                  <a14:compatExt spid="_x0000_s11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15</xdr:col>
      <xdr:colOff>38100</xdr:colOff>
      <xdr:row>30</xdr:row>
      <xdr:rowOff>104775</xdr:rowOff>
    </xdr:from>
    <xdr:to>
      <xdr:col>19</xdr:col>
      <xdr:colOff>149440</xdr:colOff>
      <xdr:row>35</xdr:row>
      <xdr:rowOff>24718</xdr:rowOff>
    </xdr:to>
    <xdr:sp macro="" textlink="">
      <xdr:nvSpPr>
        <xdr:cNvPr id="4099" name="AutoShape 3"/>
        <xdr:cNvSpPr>
          <a:spLocks noChangeArrowheads="1"/>
        </xdr:cNvSpPr>
      </xdr:nvSpPr>
      <xdr:spPr bwMode="auto">
        <a:xfrm>
          <a:off x="8814707" y="5289096"/>
          <a:ext cx="2451769" cy="736372"/>
        </a:xfrm>
        <a:prstGeom prst="roundRect">
          <a:avLst>
            <a:gd name="adj" fmla="val 16667"/>
          </a:avLst>
        </a:prstGeom>
        <a:solidFill>
          <a:srgbClr val="FFFF00"/>
        </a:solidFill>
        <a:ln w="9525">
          <a:solidFill>
            <a:srgbClr val="000000"/>
          </a:solidFill>
          <a:round/>
          <a:headEnd/>
          <a:tailEnd/>
        </a:ln>
        <a:effectLst/>
      </xdr:spPr>
      <xdr:txBody>
        <a:bodyPr wrap="none" lIns="27432" tIns="22860" rIns="0" bIns="22860" anchor="ctr" upright="1">
          <a:spAutoFit/>
        </a:bodyPr>
        <a:lstStyle/>
        <a:p>
          <a:pPr algn="l" rtl="0">
            <a:defRPr sz="1000"/>
          </a:pPr>
          <a:r>
            <a:rPr lang="en-US" sz="1400" b="0" i="0" strike="noStrike">
              <a:solidFill>
                <a:srgbClr val="000000"/>
              </a:solidFill>
              <a:latin typeface="Arial"/>
              <a:cs typeface="Arial"/>
            </a:rPr>
            <a:t>Use the Zoom drop down box</a:t>
          </a:r>
        </a:p>
        <a:p>
          <a:pPr algn="l" rtl="0">
            <a:defRPr sz="1000"/>
          </a:pPr>
          <a:r>
            <a:rPr lang="en-US" sz="1400" b="0" i="0" strike="noStrike">
              <a:solidFill>
                <a:srgbClr val="000000"/>
              </a:solidFill>
              <a:latin typeface="Arial"/>
              <a:cs typeface="Arial"/>
            </a:rPr>
            <a:t>on the toolbar to enlarge the</a:t>
          </a:r>
        </a:p>
        <a:p>
          <a:pPr algn="l" rtl="0">
            <a:defRPr sz="1000"/>
          </a:pPr>
          <a:r>
            <a:rPr lang="en-US" sz="1400" b="0" i="0" strike="noStrike">
              <a:solidFill>
                <a:srgbClr val="000000"/>
              </a:solidFill>
              <a:latin typeface="Arial"/>
              <a:cs typeface="Arial"/>
            </a:rPr>
            <a:t>shape codes.</a:t>
          </a:r>
        </a:p>
      </xdr:txBody>
    </xdr:sp>
    <xdr:clientData/>
  </xdr:twoCellAnchor>
  <xdr:twoCellAnchor editAs="oneCell">
    <xdr:from>
      <xdr:col>0</xdr:col>
      <xdr:colOff>180975</xdr:colOff>
      <xdr:row>1</xdr:row>
      <xdr:rowOff>28575</xdr:rowOff>
    </xdr:from>
    <xdr:to>
      <xdr:col>13</xdr:col>
      <xdr:colOff>276225</xdr:colOff>
      <xdr:row>51</xdr:row>
      <xdr:rowOff>66675</xdr:rowOff>
    </xdr:to>
    <xdr:pic>
      <xdr:nvPicPr>
        <xdr:cNvPr id="455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90500"/>
          <a:ext cx="7772400" cy="83915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oneCellAnchor>
    <xdr:from>
      <xdr:col>4</xdr:col>
      <xdr:colOff>0</xdr:colOff>
      <xdr:row>55</xdr:row>
      <xdr:rowOff>0</xdr:rowOff>
    </xdr:from>
    <xdr:ext cx="3024107" cy="418814"/>
    <xdr:sp macro="" textlink="">
      <xdr:nvSpPr>
        <xdr:cNvPr id="4101" name="Text Box 5"/>
        <xdr:cNvSpPr txBox="1">
          <a:spLocks noChangeArrowheads="1"/>
        </xdr:cNvSpPr>
      </xdr:nvSpPr>
      <xdr:spPr bwMode="auto">
        <a:xfrm>
          <a:off x="2375647" y="8908676"/>
          <a:ext cx="3023713" cy="417807"/>
        </a:xfrm>
        <a:prstGeom prst="rect">
          <a:avLst/>
        </a:prstGeom>
        <a:noFill/>
        <a:ln w="9525">
          <a:noFill/>
          <a:miter lim="800000"/>
          <a:headEnd/>
          <a:tailEnd/>
        </a:ln>
        <a:effectLst>
          <a:outerShdw dist="35921" dir="2700000" algn="ctr" rotWithShape="0">
            <a:srgbClr val="000000"/>
          </a:outerShdw>
        </a:effectLst>
      </xdr:spPr>
      <xdr:txBody>
        <a:bodyPr wrap="none" lIns="36576" tIns="45720" rIns="36576" bIns="45720" anchor="ctr" upright="1">
          <a:spAutoFit/>
        </a:bodyPr>
        <a:lstStyle/>
        <a:p>
          <a:pPr algn="ctr" rtl="0">
            <a:defRPr sz="1000"/>
          </a:pPr>
          <a:r>
            <a:rPr lang="en-US" sz="1800" b="0" i="0" strike="noStrike">
              <a:solidFill>
                <a:srgbClr val="000000"/>
              </a:solidFill>
              <a:latin typeface="Arial Black"/>
            </a:rPr>
            <a:t>BS 4466 SHAPE CODES</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20</xdr:row>
          <xdr:rowOff>142875</xdr:rowOff>
        </xdr:from>
        <xdr:to>
          <xdr:col>7</xdr:col>
          <xdr:colOff>47625</xdr:colOff>
          <xdr:row>22</xdr:row>
          <xdr:rowOff>66675</xdr:rowOff>
        </xdr:to>
        <xdr:sp macro="" textlink="">
          <xdr:nvSpPr>
            <xdr:cNvPr id="8193" name="Button 1" hidden="1">
              <a:extLst>
                <a:ext uri="{63B3BB69-23CF-44E3-9099-C40C66FF867C}">
                  <a14:compatExt spid="_x0000_s8193"/>
                </a:ext>
              </a:extLst>
            </xdr:cNvPr>
            <xdr:cNvSpPr/>
          </xdr:nvSpPr>
          <xdr:spPr bwMode="auto">
            <a:xfrm>
              <a:off x="0" y="0"/>
              <a:ext cx="0" cy="0"/>
            </a:xfrm>
            <a:prstGeom prst="rect">
              <a:avLst/>
            </a:prstGeom>
            <a:noFill/>
            <a:ln w="9525">
              <a:miter lim="800000"/>
              <a:headEnd/>
              <a:tailEnd/>
            </a:ln>
            <a:effectLst/>
            <a:extLst>
              <a:ext uri="{53640926-AAD7-44D8-BBD7-CCE9431645EC}">
                <a14:shadowObscured val="1"/>
              </a:ext>
            </a:extLst>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SAVE DATABASE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9525</xdr:colOff>
      <xdr:row>43</xdr:row>
      <xdr:rowOff>38100</xdr:rowOff>
    </xdr:from>
    <xdr:to>
      <xdr:col>7</xdr:col>
      <xdr:colOff>19050</xdr:colOff>
      <xdr:row>53</xdr:row>
      <xdr:rowOff>114300</xdr:rowOff>
    </xdr:to>
    <xdr:pic>
      <xdr:nvPicPr>
        <xdr:cNvPr id="7472"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268" t="53751" r="-6015"/>
        <a:stretch>
          <a:fillRect/>
        </a:stretch>
      </xdr:blipFill>
      <xdr:spPr bwMode="auto">
        <a:xfrm>
          <a:off x="1295400" y="7181850"/>
          <a:ext cx="4200525" cy="1695450"/>
        </a:xfrm>
        <a:prstGeom prst="rect">
          <a:avLst/>
        </a:prstGeom>
        <a:solidFill>
          <a:srgbClr val="FFD9B3"/>
        </a:solidFill>
        <a:ln w="6350">
          <a:solidFill>
            <a:srgbClr val="000000"/>
          </a:solidFill>
          <a:miter lim="800000"/>
          <a:headEnd/>
          <a:tailEnd/>
        </a:ln>
      </xdr:spPr>
    </xdr:pic>
    <xdr:clientData/>
  </xdr:twoCellAnchor>
  <xdr:oneCellAnchor>
    <xdr:from>
      <xdr:col>7</xdr:col>
      <xdr:colOff>342900</xdr:colOff>
      <xdr:row>49</xdr:row>
      <xdr:rowOff>85725</xdr:rowOff>
    </xdr:from>
    <xdr:ext cx="1696042" cy="416461"/>
    <xdr:sp macro="" textlink="">
      <xdr:nvSpPr>
        <xdr:cNvPr id="7177" name="Rectangle 9"/>
        <xdr:cNvSpPr>
          <a:spLocks noChangeArrowheads="1"/>
        </xdr:cNvSpPr>
      </xdr:nvSpPr>
      <xdr:spPr bwMode="auto">
        <a:xfrm>
          <a:off x="5833782" y="7963460"/>
          <a:ext cx="1696042" cy="416461"/>
        </a:xfrm>
        <a:prstGeom prst="rect">
          <a:avLst/>
        </a:prstGeom>
        <a:noFill/>
        <a:ln w="9525">
          <a:noFill/>
          <a:miter lim="800000"/>
          <a:headEnd/>
          <a:tailEnd/>
        </a:ln>
        <a:effectLst/>
      </xdr:spPr>
      <xdr:txBody>
        <a:bodyPr wrap="none" lIns="18288" tIns="18288" rIns="0" bIns="0" anchor="t" upright="1">
          <a:spAutoFit/>
        </a:bodyPr>
        <a:lstStyle/>
        <a:p>
          <a:pPr algn="l" rtl="0">
            <a:defRPr sz="1000"/>
          </a:pPr>
          <a:r>
            <a:rPr lang="en-US" sz="900" b="1" i="0" strike="noStrike">
              <a:solidFill>
                <a:srgbClr val="000000"/>
              </a:solidFill>
              <a:latin typeface="Arial"/>
              <a:cs typeface="Arial"/>
            </a:rPr>
            <a:t>notes</a:t>
          </a:r>
          <a:endParaRPr lang="en-US" sz="900" b="0" i="0" strike="noStrike">
            <a:solidFill>
              <a:srgbClr val="000000"/>
            </a:solidFill>
            <a:latin typeface="Arial"/>
            <a:cs typeface="Arial"/>
          </a:endParaRPr>
        </a:p>
        <a:p>
          <a:pPr algn="l" rtl="0">
            <a:defRPr sz="1000"/>
          </a:pPr>
          <a:r>
            <a:rPr lang="en-US" sz="900" b="0" i="0" strike="noStrike">
              <a:solidFill>
                <a:srgbClr val="000000"/>
              </a:solidFill>
              <a:latin typeface="Arial"/>
              <a:cs typeface="Arial"/>
            </a:rPr>
            <a:t>z=y+r+d  where y=n-0.57r+0.21d</a:t>
          </a:r>
        </a:p>
        <a:p>
          <a:pPr algn="l" rtl="0">
            <a:defRPr sz="1000"/>
          </a:pPr>
          <a:r>
            <a:rPr lang="en-US" sz="900" b="0" i="0" strike="noStrike">
              <a:solidFill>
                <a:srgbClr val="000000"/>
              </a:solidFill>
              <a:latin typeface="Arial"/>
              <a:cs typeface="Arial"/>
            </a:rPr>
            <a:t>x=4d+2r+2d =6d+2r</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7</xdr:col>
      <xdr:colOff>381000</xdr:colOff>
      <xdr:row>19</xdr:row>
      <xdr:rowOff>0</xdr:rowOff>
    </xdr:from>
    <xdr:to>
      <xdr:col>9</xdr:col>
      <xdr:colOff>704850</xdr:colOff>
      <xdr:row>23</xdr:row>
      <xdr:rowOff>19050</xdr:rowOff>
    </xdr:to>
    <xdr:sp macro="" textlink="">
      <xdr:nvSpPr>
        <xdr:cNvPr id="3379" name="Rectangle 10"/>
        <xdr:cNvSpPr>
          <a:spLocks noChangeArrowheads="1"/>
        </xdr:cNvSpPr>
      </xdr:nvSpPr>
      <xdr:spPr bwMode="auto">
        <a:xfrm>
          <a:off x="5857875" y="3257550"/>
          <a:ext cx="2000250" cy="666750"/>
        </a:xfrm>
        <a:prstGeom prst="rect">
          <a:avLst/>
        </a:prstGeom>
        <a:solidFill>
          <a:srgbClr val="000000"/>
        </a:solidFill>
        <a:ln w="9525">
          <a:solidFill>
            <a:srgbClr val="000000"/>
          </a:solidFill>
          <a:miter lim="800000"/>
          <a:headEnd/>
          <a:tailEnd/>
        </a:ln>
      </xdr:spPr>
    </xdr:sp>
    <xdr:clientData/>
  </xdr:twoCellAnchor>
  <xdr:oneCellAnchor>
    <xdr:from>
      <xdr:col>7</xdr:col>
      <xdr:colOff>485775</xdr:colOff>
      <xdr:row>21</xdr:row>
      <xdr:rowOff>104775</xdr:rowOff>
    </xdr:from>
    <xdr:ext cx="1097860" cy="175155"/>
    <xdr:sp macro="" textlink="">
      <xdr:nvSpPr>
        <xdr:cNvPr id="3081" name="Text Box 9"/>
        <xdr:cNvSpPr txBox="1">
          <a:spLocks noChangeArrowheads="1"/>
        </xdr:cNvSpPr>
      </xdr:nvSpPr>
      <xdr:spPr bwMode="auto">
        <a:xfrm>
          <a:off x="5962650" y="3686175"/>
          <a:ext cx="1133475" cy="190500"/>
        </a:xfrm>
        <a:prstGeom prst="rect">
          <a:avLst/>
        </a:prstGeom>
        <a:noFill/>
        <a:ln w="9525">
          <a:noFill/>
          <a:miter lim="800000"/>
          <a:headEnd/>
          <a:tailEnd/>
        </a:ln>
        <a:effectLst>
          <a:outerShdw dist="35921" dir="2700000" algn="ctr" rotWithShape="0">
            <a:srgbClr val="000000"/>
          </a:outerShdw>
        </a:effectLst>
      </xdr:spPr>
      <xdr:txBody>
        <a:bodyPr wrap="none" lIns="18288" tIns="18288" rIns="18288" bIns="0" anchor="t" upright="1">
          <a:spAutoFit/>
        </a:bodyPr>
        <a:lstStyle/>
        <a:p>
          <a:pPr algn="ctr" rtl="0">
            <a:defRPr sz="1000"/>
          </a:pPr>
          <a:r>
            <a:rPr lang="en-US" sz="800" b="1" i="0" strike="noStrike">
              <a:solidFill>
                <a:srgbClr val="00FF00"/>
              </a:solidFill>
              <a:latin typeface="Arial"/>
              <a:cs typeface="Arial"/>
            </a:rPr>
            <a:t>ADJUST DISPLAY</a:t>
          </a:r>
        </a:p>
      </xdr:txBody>
    </xdr:sp>
    <xdr:clientData/>
  </xdr:oneCellAnchor>
  <mc:AlternateContent xmlns:mc="http://schemas.openxmlformats.org/markup-compatibility/2006">
    <mc:Choice xmlns:a14="http://schemas.microsoft.com/office/drawing/2010/main" Requires="a14">
      <xdr:twoCellAnchor>
        <xdr:from>
          <xdr:col>7</xdr:col>
          <xdr:colOff>457200</xdr:colOff>
          <xdr:row>19</xdr:row>
          <xdr:rowOff>85725</xdr:rowOff>
        </xdr:from>
        <xdr:to>
          <xdr:col>8</xdr:col>
          <xdr:colOff>152400</xdr:colOff>
          <xdr:row>20</xdr:row>
          <xdr:rowOff>104775</xdr:rowOff>
        </xdr:to>
        <xdr:sp macro="" textlink="">
          <xdr:nvSpPr>
            <xdr:cNvPr id="3076" name="Button 4" hidden="1">
              <a:extLst>
                <a:ext uri="{63B3BB69-23CF-44E3-9099-C40C66FF867C}">
                  <a14:compatExt spid="_x0000_s3076"/>
                </a:ext>
              </a:extLst>
            </xdr:cNvPr>
            <xdr:cNvSpPr/>
          </xdr:nvSpPr>
          <xdr:spPr bwMode="auto">
            <a:xfrm>
              <a:off x="0" y="0"/>
              <a:ext cx="0" cy="0"/>
            </a:xfrm>
            <a:prstGeom prst="rect">
              <a:avLst/>
            </a:prstGeom>
            <a:noFill/>
            <a:ln w="9525">
              <a:miter lim="800000"/>
              <a:headEnd/>
              <a:tailEnd/>
            </a:ln>
            <a:effectLst/>
            <a:extLst>
              <a:ext uri="{53640926-AAD7-44D8-BBD7-CCE9431645EC}">
                <a14:shadowObscured val="1"/>
              </a:ext>
            </a:extLst>
          </xdr:spPr>
          <xdr:txBody>
            <a:bodyPr vertOverflow="clip" wrap="square" lIns="27432" tIns="18288" rIns="27432" bIns="18288" anchor="ctr" upright="1"/>
            <a:lstStyle/>
            <a:p>
              <a:pPr algn="ctr" rtl="0">
                <a:defRPr sz="1000"/>
              </a:pPr>
              <a:r>
                <a:rPr lang="en-ZA" sz="800" b="1" i="0" u="none" strike="noStrike" baseline="0">
                  <a:solidFill>
                    <a:srgbClr val="000000"/>
                  </a:solidFill>
                  <a:latin typeface="Arial"/>
                  <a:cs typeface="Arial"/>
                </a:rPr>
                <a:t>Large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104775</xdr:colOff>
          <xdr:row>19</xdr:row>
          <xdr:rowOff>85725</xdr:rowOff>
        </xdr:from>
        <xdr:to>
          <xdr:col>9</xdr:col>
          <xdr:colOff>638175</xdr:colOff>
          <xdr:row>20</xdr:row>
          <xdr:rowOff>104775</xdr:rowOff>
        </xdr:to>
        <xdr:sp macro="" textlink="">
          <xdr:nvSpPr>
            <xdr:cNvPr id="3079" name="Button 7" hidden="1">
              <a:extLst>
                <a:ext uri="{63B3BB69-23CF-44E3-9099-C40C66FF867C}">
                  <a14:compatExt spid="_x0000_s3079"/>
                </a:ext>
              </a:extLst>
            </xdr:cNvPr>
            <xdr:cNvSpPr/>
          </xdr:nvSpPr>
          <xdr:spPr bwMode="auto">
            <a:xfrm>
              <a:off x="0" y="0"/>
              <a:ext cx="0" cy="0"/>
            </a:xfrm>
            <a:prstGeom prst="rect">
              <a:avLst/>
            </a:prstGeom>
            <a:noFill/>
            <a:ln w="9525">
              <a:miter lim="800000"/>
              <a:headEnd/>
              <a:tailEnd/>
            </a:ln>
            <a:effectLst/>
            <a:extLst>
              <a:ext uri="{53640926-AAD7-44D8-BBD7-CCE9431645EC}">
                <a14:shadowObscured val="1"/>
              </a:ext>
            </a:extLst>
          </xdr:spPr>
          <xdr:txBody>
            <a:bodyPr vertOverflow="clip" wrap="square" lIns="27432" tIns="18288" rIns="27432" bIns="18288" anchor="ctr" upright="1"/>
            <a:lstStyle/>
            <a:p>
              <a:pPr algn="ctr" rtl="0">
                <a:defRPr sz="1000"/>
              </a:pPr>
              <a:r>
                <a:rPr lang="en-ZA" sz="800" b="1" i="0" u="none" strike="noStrike" baseline="0">
                  <a:solidFill>
                    <a:srgbClr val="000000"/>
                  </a:solidFill>
                  <a:latin typeface="Arial"/>
                  <a:cs typeface="Arial"/>
                </a:rPr>
                <a:t>Small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276225</xdr:colOff>
          <xdr:row>19</xdr:row>
          <xdr:rowOff>85725</xdr:rowOff>
        </xdr:from>
        <xdr:to>
          <xdr:col>8</xdr:col>
          <xdr:colOff>809625</xdr:colOff>
          <xdr:row>20</xdr:row>
          <xdr:rowOff>104775</xdr:rowOff>
        </xdr:to>
        <xdr:sp macro="" textlink="">
          <xdr:nvSpPr>
            <xdr:cNvPr id="3080" name="Button 8" hidden="1">
              <a:extLst>
                <a:ext uri="{63B3BB69-23CF-44E3-9099-C40C66FF867C}">
                  <a14:compatExt spid="_x0000_s3080"/>
                </a:ext>
              </a:extLst>
            </xdr:cNvPr>
            <xdr:cNvSpPr/>
          </xdr:nvSpPr>
          <xdr:spPr bwMode="auto">
            <a:xfrm>
              <a:off x="0" y="0"/>
              <a:ext cx="0" cy="0"/>
            </a:xfrm>
            <a:prstGeom prst="rect">
              <a:avLst/>
            </a:prstGeom>
            <a:noFill/>
            <a:ln w="9525">
              <a:miter lim="800000"/>
              <a:headEnd/>
              <a:tailEnd/>
            </a:ln>
            <a:effectLst/>
            <a:extLst>
              <a:ext uri="{53640926-AAD7-44D8-BBD7-CCE9431645EC}">
                <a14:shadowObscured val="1"/>
              </a:ext>
            </a:extLst>
          </xdr:spPr>
          <xdr:txBody>
            <a:bodyPr vertOverflow="clip" wrap="square" lIns="27432" tIns="18288" rIns="27432" bIns="18288" anchor="ctr" upright="1"/>
            <a:lstStyle/>
            <a:p>
              <a:pPr algn="ctr" rtl="0">
                <a:defRPr sz="1000"/>
              </a:pPr>
              <a:r>
                <a:rPr lang="en-ZA" sz="800" b="1" i="0" u="none" strike="noStrike" baseline="0">
                  <a:solidFill>
                    <a:srgbClr val="000000"/>
                  </a:solidFill>
                  <a:latin typeface="Arial"/>
                  <a:cs typeface="Arial"/>
                </a:rPr>
                <a:t>Medium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104775</xdr:colOff>
          <xdr:row>21</xdr:row>
          <xdr:rowOff>66675</xdr:rowOff>
        </xdr:from>
        <xdr:to>
          <xdr:col>9</xdr:col>
          <xdr:colOff>638175</xdr:colOff>
          <xdr:row>22</xdr:row>
          <xdr:rowOff>95250</xdr:rowOff>
        </xdr:to>
        <xdr:sp macro="" textlink="">
          <xdr:nvSpPr>
            <xdr:cNvPr id="3084" name="Button 12" hidden="1">
              <a:extLst>
                <a:ext uri="{63B3BB69-23CF-44E3-9099-C40C66FF867C}">
                  <a14:compatExt spid="_x0000_s3084"/>
                </a:ext>
              </a:extLst>
            </xdr:cNvPr>
            <xdr:cNvSpPr/>
          </xdr:nvSpPr>
          <xdr:spPr bwMode="auto">
            <a:xfrm>
              <a:off x="0" y="0"/>
              <a:ext cx="0" cy="0"/>
            </a:xfrm>
            <a:prstGeom prst="rect">
              <a:avLst/>
            </a:prstGeom>
            <a:noFill/>
            <a:ln w="9525">
              <a:miter lim="800000"/>
              <a:headEnd/>
              <a:tailEnd/>
            </a:ln>
            <a:effectLst/>
            <a:extLst>
              <a:ext uri="{53640926-AAD7-44D8-BBD7-CCE9431645EC}">
                <a14:shadowObscured val="1"/>
              </a:ext>
            </a:extLst>
          </xdr:spPr>
          <xdr:txBody>
            <a:bodyPr vertOverflow="clip" wrap="square" lIns="27432" tIns="18288" rIns="27432" bIns="18288" anchor="ctr" upright="1"/>
            <a:lstStyle/>
            <a:p>
              <a:pPr algn="ctr" rtl="0">
                <a:defRPr sz="1000"/>
              </a:pPr>
              <a:r>
                <a:rPr lang="en-ZA" sz="800" b="1" i="0" u="none" strike="noStrike" baseline="0">
                  <a:solidFill>
                    <a:srgbClr val="000000"/>
                  </a:solidFill>
                  <a:latin typeface="Arial"/>
                  <a:cs typeface="Arial"/>
                </a:rPr>
                <a:t>SAVE</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7</xdr:col>
      <xdr:colOff>457200</xdr:colOff>
      <xdr:row>17</xdr:row>
      <xdr:rowOff>28575</xdr:rowOff>
    </xdr:from>
    <xdr:to>
      <xdr:col>9</xdr:col>
      <xdr:colOff>485775</xdr:colOff>
      <xdr:row>24</xdr:row>
      <xdr:rowOff>38100</xdr:rowOff>
    </xdr:to>
    <xdr:pic>
      <xdr:nvPicPr>
        <xdr:cNvPr id="13030"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34075" y="3181350"/>
          <a:ext cx="170497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7</xdr:col>
      <xdr:colOff>485775</xdr:colOff>
      <xdr:row>25</xdr:row>
      <xdr:rowOff>9525</xdr:rowOff>
    </xdr:from>
    <xdr:ext cx="1716496" cy="465512"/>
    <xdr:sp macro="" textlink="">
      <xdr:nvSpPr>
        <xdr:cNvPr id="12291" name="Text Box 3"/>
        <xdr:cNvSpPr txBox="1">
          <a:spLocks noChangeArrowheads="1"/>
        </xdr:cNvSpPr>
      </xdr:nvSpPr>
      <xdr:spPr bwMode="auto">
        <a:xfrm>
          <a:off x="5976657" y="4379819"/>
          <a:ext cx="1716496" cy="465512"/>
        </a:xfrm>
        <a:prstGeom prst="rect">
          <a:avLst/>
        </a:prstGeom>
        <a:solidFill>
          <a:srgbClr val="FFD9B3"/>
        </a:solidFill>
        <a:ln w="3175">
          <a:solidFill>
            <a:srgbClr val="000000"/>
          </a:solidFill>
          <a:miter lim="800000"/>
          <a:headEnd/>
          <a:tailEnd/>
        </a:ln>
      </xdr:spPr>
      <xdr:txBody>
        <a:bodyPr wrap="none" lIns="18288" tIns="22860" rIns="0" bIns="0" anchor="t" upright="1">
          <a:spAutoFit/>
        </a:bodyPr>
        <a:lstStyle/>
        <a:p>
          <a:pPr algn="l" rtl="0">
            <a:defRPr sz="1000"/>
          </a:pPr>
          <a:r>
            <a:rPr lang="en-US" sz="1000" b="0" i="0" strike="noStrike">
              <a:solidFill>
                <a:srgbClr val="000000"/>
              </a:solidFill>
              <a:latin typeface="Arial"/>
              <a:cs typeface="Arial"/>
            </a:rPr>
            <a:t>Tel:      07939-187549</a:t>
          </a:r>
        </a:p>
        <a:p>
          <a:pPr algn="l" rtl="0">
            <a:defRPr sz="1000"/>
          </a:pPr>
          <a:r>
            <a:rPr lang="en-US" sz="1000" b="0" i="0" strike="noStrike">
              <a:solidFill>
                <a:srgbClr val="000000"/>
              </a:solidFill>
              <a:latin typeface="Arial"/>
              <a:cs typeface="Arial"/>
            </a:rPr>
            <a:t>Tel/fax: 020-8445 9438</a:t>
          </a:r>
        </a:p>
        <a:p>
          <a:pPr algn="l" rtl="0">
            <a:defRPr sz="1000"/>
          </a:pPr>
          <a:r>
            <a:rPr lang="en-US" sz="1000" b="0" i="0" strike="noStrike">
              <a:solidFill>
                <a:srgbClr val="000000"/>
              </a:solidFill>
              <a:latin typeface="Arial"/>
              <a:cs typeface="Arial"/>
            </a:rPr>
            <a:t>email: chris_buck@biosys.net</a:t>
          </a:r>
        </a:p>
      </xdr:txBody>
    </xdr:sp>
    <xdr:clientData/>
  </xdr:oneCellAnchor>
  <xdr:twoCellAnchor editAs="oneCell">
    <xdr:from>
      <xdr:col>8</xdr:col>
      <xdr:colOff>609600</xdr:colOff>
      <xdr:row>2</xdr:row>
      <xdr:rowOff>142875</xdr:rowOff>
    </xdr:from>
    <xdr:to>
      <xdr:col>9</xdr:col>
      <xdr:colOff>666750</xdr:colOff>
      <xdr:row>5</xdr:row>
      <xdr:rowOff>0</xdr:rowOff>
    </xdr:to>
    <xdr:grpSp>
      <xdr:nvGrpSpPr>
        <xdr:cNvPr id="13032" name="Group 4"/>
        <xdr:cNvGrpSpPr>
          <a:grpSpLocks/>
        </xdr:cNvGrpSpPr>
      </xdr:nvGrpSpPr>
      <xdr:grpSpPr bwMode="auto">
        <a:xfrm>
          <a:off x="6924675" y="685800"/>
          <a:ext cx="895350" cy="419100"/>
          <a:chOff x="905" y="82"/>
          <a:chExt cx="121" cy="56"/>
        </a:xfrm>
      </xdr:grpSpPr>
      <xdr:sp macro="" textlink="">
        <xdr:nvSpPr>
          <xdr:cNvPr id="12293" name="WordArt 5">
            <a:hlinkClick xmlns:r="http://schemas.openxmlformats.org/officeDocument/2006/relationships" r:id="rId2"/>
          </xdr:cNvPr>
          <xdr:cNvSpPr>
            <a:spLocks noChangeAspect="1" noChangeArrowheads="1" noChangeShapeType="1"/>
          </xdr:cNvSpPr>
        </xdr:nvSpPr>
        <xdr:spPr bwMode="auto">
          <a:xfrm>
            <a:off x="905" y="82"/>
            <a:ext cx="121" cy="31"/>
          </a:xfrm>
          <a:prstGeom prst="rect">
            <a:avLst/>
          </a:prstGeom>
        </xdr:spPr>
        <xdr:txBody>
          <a:bodyPr wrap="none" fromWordArt="1">
            <a:prstTxWarp prst="textPlain">
              <a:avLst>
                <a:gd name="adj" fmla="val 50000"/>
              </a:avLst>
            </a:prstTxWarp>
            <a:scene3d>
              <a:camera prst="legacyPerspectiveTopLeft"/>
              <a:lightRig rig="legacyNormal3" dir="r"/>
            </a:scene3d>
            <a:sp3d extrusionH="201600" prstMaterial="legacyMetal">
              <a:extrusionClr>
                <a:srgbClr val="FFFFFF"/>
              </a:extrusionClr>
            </a:sp3d>
          </a:bodyPr>
          <a:lstStyle/>
          <a:p>
            <a:pPr algn="ctr" rtl="0"/>
            <a:r>
              <a:rPr lang="en-US" sz="3600" kern="10" spc="0">
                <a:ln w="9525">
                  <a:round/>
                  <a:headEnd/>
                  <a:tailEnd/>
                </a:ln>
                <a:gradFill rotWithShape="0">
                  <a:gsLst>
                    <a:gs pos="0">
                      <a:srgbClr val="CBCBCB"/>
                    </a:gs>
                    <a:gs pos="13000">
                      <a:srgbClr val="5F5F5F"/>
                    </a:gs>
                    <a:gs pos="21001">
                      <a:srgbClr val="5F5F5F"/>
                    </a:gs>
                    <a:gs pos="63000">
                      <a:srgbClr val="FFFFFF"/>
                    </a:gs>
                    <a:gs pos="67000">
                      <a:srgbClr val="B2B2B2"/>
                    </a:gs>
                    <a:gs pos="69000">
                      <a:srgbClr val="292929"/>
                    </a:gs>
                    <a:gs pos="82001">
                      <a:srgbClr val="777777"/>
                    </a:gs>
                    <a:gs pos="100000">
                      <a:srgbClr val="EAEAEA"/>
                    </a:gs>
                  </a:gsLst>
                  <a:lin ang="5400000" scaled="1"/>
                </a:gradFill>
                <a:effectLst/>
                <a:latin typeface="Times New Roman"/>
                <a:cs typeface="Times New Roman"/>
              </a:rPr>
              <a:t>SteelPac</a:t>
            </a:r>
          </a:p>
        </xdr:txBody>
      </xdr:sp>
      <xdr:sp macro="" textlink="">
        <xdr:nvSpPr>
          <xdr:cNvPr id="12294" name="Rectangle 6"/>
          <xdr:cNvSpPr>
            <a:spLocks noChangeArrowheads="1"/>
          </xdr:cNvSpPr>
        </xdr:nvSpPr>
        <xdr:spPr bwMode="auto">
          <a:xfrm>
            <a:off x="906" y="107"/>
            <a:ext cx="106" cy="31"/>
          </a:xfrm>
          <a:prstGeom prst="rect">
            <a:avLst/>
          </a:prstGeom>
          <a:noFill/>
          <a:ln w="9525">
            <a:noFill/>
            <a:miter lim="800000"/>
            <a:headEnd/>
            <a:tailEnd/>
          </a:ln>
          <a:effectLst/>
        </xdr:spPr>
        <xdr:txBody>
          <a:bodyPr wrap="none" lIns="18288" tIns="22860" rIns="18288" bIns="0" anchor="t" upright="1">
            <a:spAutoFit/>
          </a:bodyPr>
          <a:lstStyle/>
          <a:p>
            <a:pPr algn="ctr" rtl="0">
              <a:defRPr sz="1000"/>
            </a:pPr>
            <a:r>
              <a:rPr lang="en-US" sz="1200" b="1" i="0" u="sng" strike="noStrike">
                <a:solidFill>
                  <a:srgbClr val="333333"/>
                </a:solidFill>
                <a:latin typeface="Times New Roman"/>
                <a:cs typeface="Times New Roman"/>
              </a:rPr>
              <a:t>compatible</a:t>
            </a:r>
          </a:p>
        </xdr:txBody>
      </xdr:sp>
    </xdr:grpSp>
    <xdr:clientData/>
  </xdr:twoCellAnchor>
  <mc:AlternateContent xmlns:mc="http://schemas.openxmlformats.org/markup-compatibility/2006">
    <mc:Choice xmlns:a14="http://schemas.microsoft.com/office/drawing/2010/main" Requires="a14">
      <xdr:twoCellAnchor editAs="oneCell">
        <xdr:from>
          <xdr:col>7</xdr:col>
          <xdr:colOff>114300</xdr:colOff>
          <xdr:row>5</xdr:row>
          <xdr:rowOff>142875</xdr:rowOff>
        </xdr:from>
        <xdr:to>
          <xdr:col>7</xdr:col>
          <xdr:colOff>685800</xdr:colOff>
          <xdr:row>7</xdr:row>
          <xdr:rowOff>19050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a:effectLst/>
            <a:extLst>
              <a:ext uri="{AF507438-7753-43E0-B8FC-AC1667EBCBE1}">
                <a14:hiddenEffects>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en-ZA" sz="800" b="1" i="0" u="none" strike="noStrike" baseline="0">
                  <a:solidFill>
                    <a:srgbClr val="000000"/>
                  </a:solidFill>
                  <a:latin typeface="Arial"/>
                  <a:cs typeface="Arial"/>
                </a:rPr>
                <a:t>Connect</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13</xdr:col>
      <xdr:colOff>228600</xdr:colOff>
      <xdr:row>1</xdr:row>
      <xdr:rowOff>0</xdr:rowOff>
    </xdr:from>
    <xdr:ext cx="247222" cy="308386"/>
    <xdr:sp macro="" textlink="">
      <xdr:nvSpPr>
        <xdr:cNvPr id="10252" name="Text Box 12"/>
        <xdr:cNvSpPr txBox="1">
          <a:spLocks noChangeArrowheads="1"/>
        </xdr:cNvSpPr>
      </xdr:nvSpPr>
      <xdr:spPr bwMode="auto">
        <a:xfrm>
          <a:off x="6067425" y="95250"/>
          <a:ext cx="323850" cy="333375"/>
        </a:xfrm>
        <a:prstGeom prst="rect">
          <a:avLst/>
        </a:prstGeom>
        <a:noFill/>
        <a:ln w="9525">
          <a:noFill/>
          <a:miter lim="800000"/>
          <a:headEnd/>
          <a:tailEnd/>
        </a:ln>
        <a:effectLst>
          <a:outerShdw dist="35921" dir="2700000" algn="ctr" rotWithShape="0">
            <a:srgbClr val="000000"/>
          </a:outerShdw>
        </a:effectLst>
      </xdr:spPr>
      <xdr:txBody>
        <a:bodyPr wrap="none" lIns="18288" tIns="18288" rIns="0" bIns="0" anchor="t" upright="1">
          <a:spAutoFit/>
        </a:bodyPr>
        <a:lstStyle/>
        <a:p>
          <a:pPr algn="l" rtl="0">
            <a:defRPr sz="1000"/>
          </a:pPr>
          <a:r>
            <a:rPr lang="en-US" sz="800" b="0" i="0" strike="noStrike">
              <a:solidFill>
                <a:srgbClr val="000000"/>
              </a:solidFill>
              <a:latin typeface="Arial"/>
              <a:cs typeface="Arial"/>
            </a:rPr>
            <a:t>Rev</a:t>
          </a:r>
        </a:p>
        <a:p>
          <a:pPr algn="l" rtl="0">
            <a:defRPr sz="1000"/>
          </a:pPr>
          <a:r>
            <a:rPr lang="en-US" sz="800" b="0" i="0" strike="noStrike">
              <a:solidFill>
                <a:srgbClr val="000000"/>
              </a:solidFill>
              <a:latin typeface="Arial"/>
              <a:cs typeface="Arial"/>
            </a:rPr>
            <a:t>letter</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9</xdr:col>
      <xdr:colOff>457200</xdr:colOff>
      <xdr:row>4</xdr:row>
      <xdr:rowOff>85725</xdr:rowOff>
    </xdr:from>
    <xdr:ext cx="3098156" cy="672107"/>
    <xdr:sp macro="" textlink="">
      <xdr:nvSpPr>
        <xdr:cNvPr id="11266" name="Text Box 2"/>
        <xdr:cNvSpPr txBox="1">
          <a:spLocks noChangeArrowheads="1"/>
        </xdr:cNvSpPr>
      </xdr:nvSpPr>
      <xdr:spPr bwMode="auto">
        <a:xfrm>
          <a:off x="5354171" y="735666"/>
          <a:ext cx="3098156" cy="672107"/>
        </a:xfrm>
        <a:prstGeom prst="rect">
          <a:avLst/>
        </a:prstGeom>
        <a:solidFill>
          <a:srgbClr val="FFFFFF"/>
        </a:solidFill>
        <a:ln w="9525">
          <a:solidFill>
            <a:srgbClr val="000000"/>
          </a:solidFill>
          <a:miter lim="800000"/>
          <a:headEnd/>
          <a:tailEnd/>
        </a:ln>
        <a:effectLst/>
      </xdr:spPr>
      <xdr:txBody>
        <a:bodyPr wrap="none" lIns="18288" tIns="22860" rIns="18288" bIns="0" anchor="t" upright="1">
          <a:spAutoFit/>
        </a:bodyPr>
        <a:lstStyle/>
        <a:p>
          <a:pPr algn="ctr" rtl="0">
            <a:defRPr sz="1000"/>
          </a:pPr>
          <a:r>
            <a:rPr lang="en-US" sz="1200" b="1" i="0" strike="noStrike">
              <a:solidFill>
                <a:srgbClr val="FF0000"/>
              </a:solidFill>
              <a:latin typeface="Arial"/>
              <a:cs typeface="Arial"/>
            </a:rPr>
            <a:t>DO NOT ALTER THE FORMAT OF THIS</a:t>
          </a:r>
        </a:p>
        <a:p>
          <a:pPr algn="ctr" rtl="0">
            <a:defRPr sz="1000"/>
          </a:pPr>
          <a:r>
            <a:rPr lang="en-US" sz="1200" b="1" i="0" strike="noStrike">
              <a:solidFill>
                <a:srgbClr val="FF0000"/>
              </a:solidFill>
              <a:latin typeface="Arial"/>
              <a:cs typeface="Arial"/>
            </a:rPr>
            <a:t>SPREADSHEET OR REMOVE THIS PAGE!</a:t>
          </a:r>
        </a:p>
        <a:p>
          <a:pPr algn="ctr" rtl="0">
            <a:defRPr sz="1000"/>
          </a:pPr>
          <a:r>
            <a:rPr lang="en-US" sz="1000" b="0" i="0" strike="noStrike">
              <a:solidFill>
                <a:srgbClr val="FF0000"/>
              </a:solidFill>
              <a:latin typeface="Arial"/>
              <a:cs typeface="Arial"/>
            </a:rPr>
            <a:t>Non-compliance may inhibit the correct importing of</a:t>
          </a:r>
        </a:p>
        <a:p>
          <a:pPr algn="ctr" rtl="0">
            <a:defRPr sz="1000"/>
          </a:pPr>
          <a:r>
            <a:rPr lang="en-US" sz="1000" b="0" i="0" strike="noStrike">
              <a:solidFill>
                <a:srgbClr val="FF0000"/>
              </a:solidFill>
              <a:latin typeface="Arial"/>
              <a:cs typeface="Arial"/>
            </a:rPr>
            <a:t>data into Bar Schedule for Excel 97.</a:t>
          </a:r>
        </a:p>
      </xdr:txBody>
    </xdr:sp>
    <xdr:clientData/>
  </xdr:oneCellAnchor>
  <xdr:oneCellAnchor>
    <xdr:from>
      <xdr:col>1</xdr:col>
      <xdr:colOff>47625</xdr:colOff>
      <xdr:row>27</xdr:row>
      <xdr:rowOff>57150</xdr:rowOff>
    </xdr:from>
    <xdr:ext cx="5902074" cy="837682"/>
    <xdr:sp macro="" textlink="">
      <xdr:nvSpPr>
        <xdr:cNvPr id="11267" name="Text Box 3"/>
        <xdr:cNvSpPr txBox="1">
          <a:spLocks noChangeArrowheads="1"/>
        </xdr:cNvSpPr>
      </xdr:nvSpPr>
      <xdr:spPr bwMode="auto">
        <a:xfrm>
          <a:off x="193301" y="4315385"/>
          <a:ext cx="5900783" cy="701218"/>
        </a:xfrm>
        <a:prstGeom prst="rect">
          <a:avLst/>
        </a:prstGeom>
        <a:solidFill>
          <a:srgbClr val="FFD9B3"/>
        </a:solidFill>
        <a:ln w="9525">
          <a:solidFill>
            <a:srgbClr val="000080"/>
          </a:solidFill>
          <a:miter lim="800000"/>
          <a:headEnd/>
          <a:tailEnd/>
        </a:ln>
        <a:effectLst/>
      </xdr:spPr>
      <xdr:txBody>
        <a:bodyPr wrap="none" lIns="18288" tIns="22860" rIns="0" bIns="0" anchor="t" upright="1">
          <a:spAutoFit/>
        </a:bodyPr>
        <a:lstStyle/>
        <a:p>
          <a:pPr algn="l" rtl="0">
            <a:defRPr sz="1000"/>
          </a:pPr>
          <a:r>
            <a:rPr lang="en-US" sz="1000" b="1" i="0" strike="noStrike">
              <a:solidFill>
                <a:srgbClr val="000080"/>
              </a:solidFill>
              <a:latin typeface="Arial"/>
              <a:cs typeface="Arial"/>
            </a:rPr>
            <a:t>Bar Schedule for Excel 97</a:t>
          </a:r>
          <a:endParaRPr lang="en-US" sz="900" b="0" i="0" strike="noStrike">
            <a:solidFill>
              <a:srgbClr val="000080"/>
            </a:solidFill>
            <a:latin typeface="Arial"/>
            <a:cs typeface="Arial"/>
          </a:endParaRPr>
        </a:p>
        <a:p>
          <a:pPr algn="l" rtl="0">
            <a:defRPr sz="1000"/>
          </a:pPr>
          <a:r>
            <a:rPr lang="en-US" sz="900" b="0" i="0" strike="noStrike">
              <a:solidFill>
                <a:srgbClr val="000080"/>
              </a:solidFill>
              <a:latin typeface="Arial"/>
              <a:cs typeface="Arial"/>
            </a:rPr>
            <a:t>This bar schedule workbook was produced with Bar Schedule for Excel 97.</a:t>
          </a:r>
        </a:p>
        <a:p>
          <a:pPr algn="l" rtl="0">
            <a:defRPr sz="1000"/>
          </a:pPr>
          <a:r>
            <a:rPr lang="en-US" sz="900" b="0" i="0" strike="noStrike">
              <a:solidFill>
                <a:srgbClr val="000080"/>
              </a:solidFill>
              <a:latin typeface="Arial"/>
              <a:cs typeface="Arial"/>
            </a:rPr>
            <a:t>Further details and a fully functional, free copy can be obtained from:  http://www.structural-engineering.fsnet.co.uk/</a:t>
          </a:r>
        </a:p>
        <a:p>
          <a:pPr algn="l" rtl="0">
            <a:defRPr sz="1000"/>
          </a:pPr>
          <a:r>
            <a:rPr lang="en-US" sz="900" b="0" i="0" strike="noStrike">
              <a:solidFill>
                <a:srgbClr val="000080"/>
              </a:solidFill>
              <a:latin typeface="Arial"/>
              <a:cs typeface="Arial"/>
            </a:rPr>
            <a:t>For information regarding 'Bar Schedule for Excel 97' only, email:  info@structural-engineering.fsnet.co.uk</a:t>
          </a:r>
        </a:p>
        <a:p>
          <a:pPr algn="l" rtl="0">
            <a:defRPr sz="1000"/>
          </a:pPr>
          <a:r>
            <a:rPr lang="en-US" sz="900" b="0" i="0" strike="noStrike">
              <a:solidFill>
                <a:srgbClr val="000080"/>
              </a:solidFill>
              <a:latin typeface="Arial"/>
              <a:cs typeface="Arial"/>
            </a:rPr>
            <a:t>No technical support is available for unregistered users and correspondence regarding data will not be replied to.</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image" Target="../media/image1.png"/><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6.xml"/><Relationship Id="rId4" Type="http://schemas.openxmlformats.org/officeDocument/2006/relationships/image" Target="../media/image3.png"/></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info@structural-engineering.fsnet.co.uk" TargetMode="External"/><Relationship Id="rId5" Type="http://schemas.openxmlformats.org/officeDocument/2006/relationships/ctrlProp" Target="../ctrlProps/ctrlProp21.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DK38"/>
  <sheetViews>
    <sheetView showGridLines="0" showRowColHeaders="0" tabSelected="1" topLeftCell="AN16" zoomScale="85" zoomScaleNormal="75" zoomScaleSheetLayoutView="90" workbookViewId="0">
      <selection activeCell="DH35" sqref="DH35"/>
    </sheetView>
  </sheetViews>
  <sheetFormatPr defaultColWidth="8.85546875" defaultRowHeight="15"/>
  <cols>
    <col min="1" max="1" width="1.85546875" style="37" customWidth="1"/>
    <col min="2" max="2" width="12.28515625" style="37" customWidth="1"/>
    <col min="3" max="3" width="7.5703125" style="37" customWidth="1"/>
    <col min="4" max="5" width="4.5703125" style="37" customWidth="1"/>
    <col min="6" max="6" width="5.28515625" style="37" customWidth="1"/>
    <col min="7" max="9" width="7.5703125" style="37" customWidth="1"/>
    <col min="10" max="10" width="6" style="37" customWidth="1"/>
    <col min="11" max="15" width="7.5703125" style="37" customWidth="1"/>
    <col min="16" max="16" width="2.28515625" style="37" customWidth="1"/>
    <col min="17" max="18" width="11.28515625" style="37" customWidth="1"/>
    <col min="19" max="35" width="6.7109375" style="37" hidden="1" customWidth="1"/>
    <col min="36" max="36" width="1.42578125" style="37" hidden="1" customWidth="1"/>
    <col min="37" max="39" width="6.7109375" style="37" hidden="1" customWidth="1"/>
    <col min="40" max="42" width="6.7109375" style="37" customWidth="1"/>
    <col min="43" max="45" width="6.7109375" style="41" customWidth="1"/>
    <col min="46" max="46" width="6.7109375" style="37" customWidth="1"/>
    <col min="47" max="54" width="6.7109375" style="41" hidden="1" customWidth="1"/>
    <col min="55" max="63" width="6.7109375" style="42" hidden="1" customWidth="1"/>
    <col min="64" max="75" width="6.7109375" style="37" hidden="1" customWidth="1"/>
    <col min="76" max="76" width="0" style="43" hidden="1" customWidth="1"/>
    <col min="77" max="77" width="2.42578125" style="43" hidden="1" customWidth="1"/>
    <col min="78" max="78" width="0" style="43" hidden="1" customWidth="1"/>
    <col min="79" max="79" width="2.28515625" style="43" hidden="1" customWidth="1"/>
    <col min="80" max="80" width="0" style="43" hidden="1" customWidth="1"/>
    <col min="81" max="81" width="2.28515625" style="43" hidden="1" customWidth="1"/>
    <col min="82" max="82" width="0" style="43" hidden="1" customWidth="1"/>
    <col min="83" max="83" width="2.7109375" style="43" hidden="1" customWidth="1"/>
    <col min="84" max="84" width="0" style="43" hidden="1" customWidth="1"/>
    <col min="85" max="85" width="1.85546875" style="43" hidden="1" customWidth="1"/>
    <col min="86" max="86" width="0" style="43" hidden="1" customWidth="1"/>
    <col min="87" max="87" width="2.5703125" style="43" hidden="1" customWidth="1"/>
    <col min="88" max="88" width="0" style="43" hidden="1" customWidth="1"/>
    <col min="89" max="89" width="2.7109375" style="43" hidden="1" customWidth="1"/>
    <col min="90" max="92" width="12.7109375" style="37" hidden="1" customWidth="1"/>
    <col min="93" max="93" width="12.7109375" style="37" customWidth="1"/>
    <col min="94" max="115" width="8.7109375" style="37" customWidth="1"/>
    <col min="116" max="16384" width="8.85546875" style="37"/>
  </cols>
  <sheetData>
    <row r="1" spans="2:115" ht="7.9" customHeight="1"/>
    <row r="2" spans="2:115" ht="22.15" customHeight="1">
      <c r="B2" s="344" t="s">
        <v>379</v>
      </c>
      <c r="C2" s="345"/>
      <c r="D2" s="345"/>
      <c r="E2" s="345"/>
      <c r="F2" s="345"/>
      <c r="G2" s="346"/>
      <c r="H2" s="1"/>
      <c r="I2" s="2" t="s">
        <v>147</v>
      </c>
      <c r="J2" s="1"/>
      <c r="K2" s="1"/>
      <c r="L2" s="207">
        <v>1</v>
      </c>
      <c r="M2" s="208">
        <v>6</v>
      </c>
      <c r="N2" s="36"/>
      <c r="O2" s="209"/>
      <c r="P2" s="32"/>
    </row>
    <row r="3" spans="2:115" ht="13.7" customHeight="1">
      <c r="B3" s="3"/>
      <c r="C3" s="4"/>
      <c r="D3" s="4"/>
      <c r="E3" s="4"/>
      <c r="F3" s="4"/>
      <c r="G3" s="4"/>
      <c r="H3" s="1"/>
      <c r="I3" s="5"/>
      <c r="J3" s="1"/>
      <c r="K3" s="1"/>
      <c r="L3" s="1"/>
      <c r="M3" s="1"/>
      <c r="N3" s="57" t="str">
        <f>IF(AND(O2&lt;&gt;"",O3=""),"Insert revision date:","")</f>
        <v/>
      </c>
      <c r="O3" s="35"/>
      <c r="P3" s="33"/>
      <c r="Q3" s="46"/>
      <c r="R3" s="45"/>
      <c r="S3" s="45"/>
      <c r="T3" s="45"/>
      <c r="U3" s="45"/>
      <c r="V3" s="45"/>
      <c r="W3" s="45"/>
      <c r="X3" s="45"/>
      <c r="Y3" s="45"/>
      <c r="Z3" s="45"/>
      <c r="AA3" s="45"/>
      <c r="AB3" s="45"/>
      <c r="AC3" s="45"/>
      <c r="AD3" s="45"/>
      <c r="AE3" s="45"/>
      <c r="AK3" s="69" t="s">
        <v>166</v>
      </c>
      <c r="AL3" s="70"/>
      <c r="AO3" s="44"/>
      <c r="AR3" s="47"/>
    </row>
    <row r="4" spans="2:115" ht="16.899999999999999" customHeight="1">
      <c r="B4" s="2" t="s">
        <v>148</v>
      </c>
      <c r="C4" s="339" t="s">
        <v>380</v>
      </c>
      <c r="D4" s="339"/>
      <c r="E4" s="339"/>
      <c r="F4" s="339"/>
      <c r="G4" s="339"/>
      <c r="H4" s="1"/>
      <c r="I4" s="2" t="s">
        <v>109</v>
      </c>
      <c r="J4" s="1"/>
      <c r="K4" s="1"/>
      <c r="L4" s="360">
        <v>42195</v>
      </c>
      <c r="M4" s="360"/>
      <c r="N4" s="1"/>
      <c r="O4" s="1"/>
      <c r="P4" s="1"/>
      <c r="S4" s="76" t="s">
        <v>300</v>
      </c>
      <c r="T4" s="76"/>
      <c r="U4" s="76"/>
      <c r="V4" s="93">
        <v>1</v>
      </c>
      <c r="AK4" s="71" t="s">
        <v>167</v>
      </c>
      <c r="AL4" s="72"/>
      <c r="AO4" s="47"/>
      <c r="AT4" s="41"/>
      <c r="CP4" s="357" t="str">
        <f>IF(B2="","",B2)</f>
        <v>WSTF DTF BBS</v>
      </c>
      <c r="CQ4" s="358"/>
      <c r="CR4" s="358"/>
      <c r="CS4" s="359"/>
      <c r="CT4" s="1"/>
      <c r="CU4" s="1"/>
      <c r="CV4" s="257" t="s">
        <v>12</v>
      </c>
      <c r="CW4" s="369" t="str">
        <f>IF(C4="","",C4)</f>
        <v>OS</v>
      </c>
      <c r="CX4" s="369"/>
      <c r="CY4" s="369"/>
      <c r="CZ4" s="369"/>
      <c r="DA4" s="369"/>
      <c r="DB4" s="1"/>
      <c r="DC4" s="1"/>
      <c r="DD4" s="257" t="s">
        <v>13</v>
      </c>
      <c r="DE4" s="257"/>
      <c r="DF4" s="257"/>
      <c r="DG4" s="258">
        <f>IF(L2="","",L2)</f>
        <v>1</v>
      </c>
      <c r="DH4" s="259">
        <f>IF(M2="","",M2)</f>
        <v>6</v>
      </c>
      <c r="DI4" s="257"/>
      <c r="DJ4" s="257" t="s">
        <v>14</v>
      </c>
      <c r="DK4" s="260" t="str">
        <f>IF(O2="","",O2)</f>
        <v/>
      </c>
    </row>
    <row r="5" spans="2:115" ht="13.7" customHeight="1">
      <c r="B5" s="1"/>
      <c r="C5" s="1"/>
      <c r="D5" s="1"/>
      <c r="E5" s="1"/>
      <c r="F5" s="1"/>
      <c r="G5" s="1"/>
      <c r="H5" s="1"/>
      <c r="I5" s="5"/>
      <c r="J5" s="1"/>
      <c r="K5" s="1"/>
      <c r="L5" s="1"/>
      <c r="M5" s="1"/>
      <c r="N5" s="1"/>
      <c r="O5" s="1"/>
      <c r="P5" s="1"/>
      <c r="AK5" s="73" t="s">
        <v>165</v>
      </c>
      <c r="AL5" s="81">
        <v>1</v>
      </c>
      <c r="AT5" s="41"/>
      <c r="CP5" s="1"/>
      <c r="CQ5" s="1"/>
      <c r="CR5" s="1"/>
      <c r="CS5" s="1"/>
      <c r="CT5" s="1"/>
      <c r="CU5" s="1"/>
      <c r="CV5" s="4" t="s">
        <v>15</v>
      </c>
      <c r="CW5" s="333" t="str">
        <f>IF(C6="","",C6)</f>
        <v>1</v>
      </c>
      <c r="CX5" s="333"/>
      <c r="CY5" s="333"/>
      <c r="CZ5" s="333"/>
      <c r="DA5" s="333"/>
      <c r="DB5" s="4"/>
      <c r="DC5" s="4"/>
      <c r="DD5" s="4" t="s">
        <v>16</v>
      </c>
      <c r="DE5" s="4"/>
      <c r="DF5" s="4"/>
      <c r="DG5" s="363">
        <f>IF(L4="","",L4)</f>
        <v>42195</v>
      </c>
      <c r="DH5" s="363"/>
      <c r="DI5" s="4"/>
      <c r="DJ5" s="4"/>
      <c r="DK5" s="261" t="str">
        <f>IF(O3="","",O3)</f>
        <v/>
      </c>
    </row>
    <row r="6" spans="2:115" ht="16.899999999999999" customHeight="1">
      <c r="B6" s="2" t="s">
        <v>149</v>
      </c>
      <c r="C6" s="339" t="s">
        <v>375</v>
      </c>
      <c r="D6" s="339"/>
      <c r="E6" s="339"/>
      <c r="F6" s="339"/>
      <c r="G6" s="339"/>
      <c r="H6" s="1"/>
      <c r="I6" s="2" t="s">
        <v>110</v>
      </c>
      <c r="J6" s="1"/>
      <c r="K6" s="1"/>
      <c r="L6" s="205" t="s">
        <v>374</v>
      </c>
      <c r="M6" s="6"/>
      <c r="N6" s="7" t="s">
        <v>151</v>
      </c>
      <c r="O6" s="206"/>
      <c r="P6" s="34"/>
      <c r="AO6" s="58"/>
      <c r="AP6" s="59"/>
      <c r="AQ6" s="59"/>
      <c r="AR6" s="60"/>
      <c r="AS6" s="61"/>
      <c r="AT6" s="41"/>
      <c r="BX6" s="340" t="s">
        <v>271</v>
      </c>
      <c r="BY6" s="341"/>
      <c r="BZ6" s="341"/>
      <c r="CA6" s="341"/>
      <c r="CB6" s="341"/>
      <c r="CC6" s="341"/>
      <c r="CD6" s="341"/>
      <c r="CE6" s="341"/>
      <c r="CF6" s="341"/>
      <c r="CG6" s="341"/>
      <c r="CH6" s="341"/>
      <c r="CI6" s="341"/>
      <c r="CJ6" s="341"/>
      <c r="CK6" s="342"/>
      <c r="CP6" s="1"/>
      <c r="CQ6" s="1"/>
      <c r="CR6" s="1"/>
      <c r="CS6" s="1"/>
      <c r="CT6" s="1"/>
      <c r="CU6" s="1"/>
      <c r="CV6" s="1"/>
      <c r="CW6" s="1"/>
      <c r="CX6" s="1"/>
      <c r="CY6" s="1"/>
      <c r="CZ6" s="1"/>
      <c r="DA6" s="1"/>
      <c r="DB6" s="1"/>
      <c r="DC6" s="1"/>
      <c r="DD6" s="1"/>
      <c r="DE6" s="1"/>
      <c r="DF6" s="1"/>
      <c r="DG6" s="1"/>
      <c r="DH6" s="1"/>
      <c r="DI6" s="1"/>
      <c r="DJ6" s="1"/>
      <c r="DK6" s="1"/>
    </row>
    <row r="7" spans="2:115" ht="15.75" customHeight="1">
      <c r="B7" s="1"/>
      <c r="C7" s="1"/>
      <c r="D7" s="1"/>
      <c r="E7" s="1"/>
      <c r="F7" s="1"/>
      <c r="G7" s="1"/>
      <c r="H7" s="1"/>
      <c r="I7" s="334" t="str">
        <f>IF(ISNA(VLOOKUP(1,range,1,FALSE)=1),"",IF(VLOOKUP(1,range,1,FALSE)=1,"Enter total length in 'A'",""))</f>
        <v/>
      </c>
      <c r="J7" s="334"/>
      <c r="K7" s="334"/>
      <c r="L7" s="1"/>
      <c r="M7" s="1"/>
      <c r="N7" s="1"/>
      <c r="O7" s="1"/>
      <c r="P7" s="1"/>
      <c r="AN7" s="38"/>
      <c r="AO7" s="349" t="s">
        <v>168</v>
      </c>
      <c r="AP7" s="350"/>
      <c r="AQ7" s="350"/>
      <c r="AR7" s="350" t="s">
        <v>190</v>
      </c>
      <c r="AS7" s="350"/>
      <c r="AT7" s="41"/>
      <c r="AU7" s="80" t="s">
        <v>270</v>
      </c>
      <c r="AV7" s="77"/>
      <c r="AW7" s="77"/>
      <c r="AX7" s="77"/>
      <c r="AY7" s="77"/>
      <c r="AZ7" s="77"/>
      <c r="BA7" s="77"/>
      <c r="BB7" s="77"/>
      <c r="BC7" s="78"/>
      <c r="BD7" s="78"/>
      <c r="BE7" s="78"/>
      <c r="BF7" s="78"/>
      <c r="BG7" s="78"/>
      <c r="BH7" s="78"/>
      <c r="BI7" s="78"/>
      <c r="BJ7" s="78"/>
      <c r="BK7" s="78"/>
      <c r="BL7" s="79"/>
      <c r="BM7" s="79"/>
      <c r="BN7" s="79"/>
      <c r="BO7" s="79"/>
      <c r="BP7" s="79"/>
      <c r="BQ7" s="79"/>
      <c r="BR7" s="79"/>
      <c r="BS7" s="79"/>
      <c r="BT7" s="79"/>
      <c r="BU7" s="79"/>
      <c r="BV7" s="79"/>
      <c r="BX7" s="74" t="s">
        <v>135</v>
      </c>
      <c r="BY7" s="74"/>
      <c r="BZ7" s="74" t="s">
        <v>136</v>
      </c>
      <c r="CA7" s="74"/>
      <c r="CB7" s="74" t="s">
        <v>137</v>
      </c>
      <c r="CC7" s="74"/>
      <c r="CD7" s="74" t="s">
        <v>138</v>
      </c>
      <c r="CE7" s="74"/>
      <c r="CF7" s="74" t="s">
        <v>139</v>
      </c>
      <c r="CG7" s="74"/>
      <c r="CH7" s="74" t="s">
        <v>140</v>
      </c>
      <c r="CI7" s="74"/>
      <c r="CJ7" s="74" t="s">
        <v>141</v>
      </c>
      <c r="CK7" s="74"/>
      <c r="CP7" s="262" t="s">
        <v>17</v>
      </c>
      <c r="CQ7" s="263"/>
      <c r="CR7" s="263"/>
      <c r="CS7" s="263"/>
      <c r="CT7" s="263"/>
      <c r="CU7" s="263"/>
      <c r="CV7" s="263"/>
      <c r="CW7" s="263"/>
      <c r="CX7" s="263"/>
      <c r="CY7" s="263"/>
      <c r="CZ7" s="263"/>
      <c r="DA7" s="263"/>
      <c r="DB7" s="263"/>
      <c r="DC7" s="263"/>
      <c r="DD7" s="263"/>
      <c r="DE7" s="263"/>
      <c r="DF7" s="263"/>
      <c r="DG7" s="263"/>
      <c r="DH7" s="263"/>
      <c r="DI7" s="263"/>
      <c r="DJ7" s="263"/>
      <c r="DK7" s="263"/>
    </row>
    <row r="8" spans="2:115" ht="27" customHeight="1">
      <c r="B8" s="335" t="s">
        <v>111</v>
      </c>
      <c r="C8" s="335" t="s">
        <v>150</v>
      </c>
      <c r="D8" s="361" t="s">
        <v>120</v>
      </c>
      <c r="E8" s="362"/>
      <c r="F8" s="335" t="s">
        <v>146</v>
      </c>
      <c r="G8" s="335" t="s">
        <v>121</v>
      </c>
      <c r="H8" s="335" t="s">
        <v>112</v>
      </c>
      <c r="I8" s="335" t="s">
        <v>114</v>
      </c>
      <c r="J8" s="335" t="s">
        <v>115</v>
      </c>
      <c r="K8" s="8" t="s">
        <v>116</v>
      </c>
      <c r="L8" s="9" t="s">
        <v>117</v>
      </c>
      <c r="M8" s="9" t="s">
        <v>118</v>
      </c>
      <c r="N8" s="9" t="s">
        <v>119</v>
      </c>
      <c r="O8" s="10" t="s">
        <v>126</v>
      </c>
      <c r="P8" s="337" t="str">
        <f>IF(O2&lt;&gt;"","revision","")</f>
        <v/>
      </c>
      <c r="S8" s="352" t="s">
        <v>249</v>
      </c>
      <c r="T8" s="353"/>
      <c r="U8" s="353"/>
      <c r="V8" s="353"/>
      <c r="W8" s="353"/>
      <c r="X8" s="353"/>
      <c r="Y8" s="353"/>
      <c r="Z8" s="353"/>
      <c r="AA8" s="353"/>
      <c r="AB8" s="354"/>
      <c r="AF8" s="68"/>
      <c r="AG8" s="343" t="s">
        <v>163</v>
      </c>
      <c r="AH8" s="343"/>
      <c r="AI8" s="343"/>
      <c r="AJ8" s="64"/>
      <c r="AK8" s="343" t="s">
        <v>164</v>
      </c>
      <c r="AL8" s="343"/>
      <c r="AM8" s="343"/>
      <c r="AN8" s="49"/>
      <c r="AO8" s="351"/>
      <c r="AP8" s="351"/>
      <c r="AQ8" s="351"/>
      <c r="AR8" s="351"/>
      <c r="AS8" s="351"/>
      <c r="AT8" s="41"/>
      <c r="AU8" s="366" t="s">
        <v>127</v>
      </c>
      <c r="AV8" s="367"/>
      <c r="AW8" s="367"/>
      <c r="AX8" s="367"/>
      <c r="AY8" s="367"/>
      <c r="AZ8" s="367"/>
      <c r="BA8" s="367"/>
      <c r="BB8" s="367"/>
      <c r="BC8" s="367"/>
      <c r="BD8" s="367"/>
      <c r="BE8" s="367"/>
      <c r="BF8" s="367"/>
      <c r="BG8" s="367"/>
      <c r="BH8" s="367"/>
      <c r="BI8" s="367"/>
      <c r="BJ8" s="367"/>
      <c r="BK8" s="367"/>
      <c r="BL8" s="367"/>
      <c r="BM8" s="367"/>
      <c r="BN8" s="367"/>
      <c r="BO8" s="367"/>
      <c r="BP8" s="367"/>
      <c r="BQ8" s="367"/>
      <c r="BR8" s="367"/>
      <c r="BS8" s="367"/>
      <c r="BT8" s="367"/>
      <c r="BU8" s="367"/>
      <c r="BV8" s="368"/>
      <c r="BX8" s="74" t="b">
        <f>OR($J8=20,$J8=32,$J8=33,$J8=34,$J8=35,$J8=99)</f>
        <v>0</v>
      </c>
      <c r="BY8" s="74"/>
      <c r="BZ8" s="74" t="b">
        <f>OR($J8=37,$J8=61,$J8=82,$J8=77,$J8=79)</f>
        <v>0</v>
      </c>
      <c r="CA8" s="74"/>
      <c r="CB8" s="74" t="b">
        <f>OR($J8=38,$J8=62,$J8=39,$J8=54,$J8=78,$J8=87)</f>
        <v>0</v>
      </c>
      <c r="CC8" s="74"/>
      <c r="CD8" s="74" t="b">
        <f>OR($J8=41,$J8=42,$J8=45,$J8=52,$J8=85)</f>
        <v>0</v>
      </c>
      <c r="CE8" s="74"/>
      <c r="CF8" s="74" t="b">
        <f>OR($J8=43,$J8=49,$J8=53,$J8=55)</f>
        <v>0</v>
      </c>
      <c r="CG8" s="74"/>
      <c r="CH8" s="74" t="b">
        <f>$J8=65</f>
        <v>0</v>
      </c>
      <c r="CI8" s="74"/>
      <c r="CJ8" s="74" t="b">
        <f>$J8=51</f>
        <v>0</v>
      </c>
      <c r="CK8" s="74"/>
      <c r="CM8" s="49"/>
      <c r="CN8" s="49"/>
      <c r="CP8" s="364" t="s">
        <v>18</v>
      </c>
      <c r="CQ8" s="364" t="s">
        <v>115</v>
      </c>
      <c r="CR8" s="264" t="s">
        <v>19</v>
      </c>
      <c r="CS8" s="263"/>
      <c r="CT8" s="263"/>
      <c r="CU8" s="263"/>
      <c r="CV8" s="263"/>
      <c r="CW8" s="263"/>
      <c r="CX8" s="263"/>
      <c r="CY8" s="263"/>
      <c r="CZ8" s="263"/>
      <c r="DA8" s="263"/>
      <c r="DB8" s="264" t="s">
        <v>20</v>
      </c>
      <c r="DC8" s="263"/>
      <c r="DD8" s="263"/>
      <c r="DE8" s="263"/>
      <c r="DF8" s="263"/>
      <c r="DG8" s="263"/>
      <c r="DH8" s="263"/>
      <c r="DI8" s="263"/>
      <c r="DJ8" s="263"/>
      <c r="DK8" s="263"/>
    </row>
    <row r="9" spans="2:115" ht="27" customHeight="1" thickBot="1">
      <c r="B9" s="336"/>
      <c r="C9" s="336"/>
      <c r="D9" s="87"/>
      <c r="E9" s="88"/>
      <c r="F9" s="336"/>
      <c r="G9" s="336"/>
      <c r="H9" s="336"/>
      <c r="I9" s="336"/>
      <c r="J9" s="336"/>
      <c r="K9" s="11" t="s">
        <v>113</v>
      </c>
      <c r="L9" s="12" t="s">
        <v>113</v>
      </c>
      <c r="M9" s="12" t="s">
        <v>113</v>
      </c>
      <c r="N9" s="12" t="s">
        <v>113</v>
      </c>
      <c r="O9" s="13" t="s">
        <v>113</v>
      </c>
      <c r="P9" s="338"/>
      <c r="S9" s="66" t="s">
        <v>199</v>
      </c>
      <c r="T9" s="66" t="s">
        <v>204</v>
      </c>
      <c r="U9" s="66" t="s">
        <v>200</v>
      </c>
      <c r="V9" s="66" t="s">
        <v>201</v>
      </c>
      <c r="W9" s="66" t="s">
        <v>202</v>
      </c>
      <c r="X9" s="66" t="s">
        <v>203</v>
      </c>
      <c r="Y9" s="66" t="s">
        <v>215</v>
      </c>
      <c r="Z9" s="66" t="s">
        <v>222</v>
      </c>
      <c r="AA9" s="66" t="s">
        <v>221</v>
      </c>
      <c r="AB9" s="66" t="s">
        <v>283</v>
      </c>
      <c r="AC9" s="50"/>
      <c r="AD9" s="66" t="s">
        <v>214</v>
      </c>
      <c r="AE9" s="50"/>
      <c r="AF9" s="64" t="s">
        <v>122</v>
      </c>
      <c r="AG9" s="65" t="s">
        <v>123</v>
      </c>
      <c r="AH9" s="65" t="s">
        <v>124</v>
      </c>
      <c r="AI9" s="65" t="s">
        <v>125</v>
      </c>
      <c r="AJ9" s="65"/>
      <c r="AK9" s="65" t="s">
        <v>123</v>
      </c>
      <c r="AL9" s="65" t="s">
        <v>124</v>
      </c>
      <c r="AM9" s="65" t="s">
        <v>125</v>
      </c>
      <c r="AN9" s="48"/>
      <c r="AO9" s="327" t="s">
        <v>123</v>
      </c>
      <c r="AP9" s="327" t="s">
        <v>124</v>
      </c>
      <c r="AQ9" s="327" t="s">
        <v>125</v>
      </c>
      <c r="AR9" s="327" t="s">
        <v>178</v>
      </c>
      <c r="AS9" s="327" t="s">
        <v>179</v>
      </c>
      <c r="AU9" s="75">
        <v>20</v>
      </c>
      <c r="AV9" s="75">
        <v>32</v>
      </c>
      <c r="AW9" s="75">
        <v>33</v>
      </c>
      <c r="AX9" s="75">
        <v>34</v>
      </c>
      <c r="AY9" s="75">
        <v>35</v>
      </c>
      <c r="AZ9" s="75">
        <v>37</v>
      </c>
      <c r="BA9" s="75">
        <v>38</v>
      </c>
      <c r="BB9" s="75">
        <v>41</v>
      </c>
      <c r="BC9" s="75">
        <v>43</v>
      </c>
      <c r="BD9" s="75">
        <v>51</v>
      </c>
      <c r="BE9" s="75">
        <v>61</v>
      </c>
      <c r="BF9" s="75">
        <v>62</v>
      </c>
      <c r="BG9" s="75">
        <v>82</v>
      </c>
      <c r="BH9" s="75">
        <v>39</v>
      </c>
      <c r="BI9" s="75">
        <v>42</v>
      </c>
      <c r="BJ9" s="75">
        <v>45</v>
      </c>
      <c r="BK9" s="75">
        <v>49</v>
      </c>
      <c r="BL9" s="75">
        <v>52</v>
      </c>
      <c r="BM9" s="75">
        <v>53</v>
      </c>
      <c r="BN9" s="75">
        <v>54</v>
      </c>
      <c r="BO9" s="75">
        <v>55</v>
      </c>
      <c r="BP9" s="75">
        <v>65</v>
      </c>
      <c r="BQ9" s="75">
        <v>77</v>
      </c>
      <c r="BR9" s="75">
        <v>78</v>
      </c>
      <c r="BS9" s="75">
        <v>79</v>
      </c>
      <c r="BT9" s="75">
        <v>85</v>
      </c>
      <c r="BU9" s="75">
        <v>87</v>
      </c>
      <c r="BV9" s="75">
        <v>99</v>
      </c>
      <c r="BX9" s="74" t="s">
        <v>128</v>
      </c>
      <c r="BY9" s="74"/>
      <c r="BZ9" s="74" t="s">
        <v>129</v>
      </c>
      <c r="CA9" s="74"/>
      <c r="CB9" s="74" t="s">
        <v>130</v>
      </c>
      <c r="CC9" s="74"/>
      <c r="CD9" s="74" t="s">
        <v>131</v>
      </c>
      <c r="CE9" s="74"/>
      <c r="CF9" s="74" t="s">
        <v>132</v>
      </c>
      <c r="CG9" s="74"/>
      <c r="CH9" s="74" t="s">
        <v>133</v>
      </c>
      <c r="CI9" s="74"/>
      <c r="CJ9" s="74" t="s">
        <v>134</v>
      </c>
      <c r="CK9" s="74"/>
      <c r="CM9" s="65" t="s">
        <v>195</v>
      </c>
      <c r="CN9" s="65" t="s">
        <v>47</v>
      </c>
      <c r="CP9" s="365"/>
      <c r="CQ9" s="365"/>
      <c r="CR9" s="260">
        <v>6</v>
      </c>
      <c r="CS9" s="260">
        <v>8</v>
      </c>
      <c r="CT9" s="260">
        <v>10</v>
      </c>
      <c r="CU9" s="260">
        <v>12</v>
      </c>
      <c r="CV9" s="260">
        <v>16</v>
      </c>
      <c r="CW9" s="260">
        <v>20</v>
      </c>
      <c r="CX9" s="260">
        <v>25</v>
      </c>
      <c r="CY9" s="260">
        <v>32</v>
      </c>
      <c r="CZ9" s="260">
        <v>40</v>
      </c>
      <c r="DA9" s="260">
        <v>50</v>
      </c>
      <c r="DB9" s="260">
        <v>6</v>
      </c>
      <c r="DC9" s="260">
        <v>8</v>
      </c>
      <c r="DD9" s="260">
        <v>10</v>
      </c>
      <c r="DE9" s="260">
        <v>12</v>
      </c>
      <c r="DF9" s="260">
        <v>16</v>
      </c>
      <c r="DG9" s="260">
        <v>20</v>
      </c>
      <c r="DH9" s="260">
        <v>25</v>
      </c>
      <c r="DI9" s="260">
        <v>32</v>
      </c>
      <c r="DJ9" s="260">
        <v>40</v>
      </c>
      <c r="DK9" s="260">
        <v>50</v>
      </c>
    </row>
    <row r="10" spans="2:115" ht="27" customHeight="1" thickTop="1">
      <c r="B10" s="14" t="s">
        <v>376</v>
      </c>
      <c r="C10" s="198">
        <v>1</v>
      </c>
      <c r="D10" s="196" t="s">
        <v>373</v>
      </c>
      <c r="E10" s="197">
        <v>10</v>
      </c>
      <c r="F10" s="198">
        <v>2</v>
      </c>
      <c r="G10" s="198">
        <v>3</v>
      </c>
      <c r="H10" s="199">
        <f>$F10*$G10</f>
        <v>6</v>
      </c>
      <c r="I10" s="200">
        <f t="shared" ref="I10:I32" si="0">IF($J10="","",ROUNDUP((HLOOKUP($J10,$AU$9:$BV$32,ROW()-8,FALSE))/25,0)*25)</f>
        <v>4600</v>
      </c>
      <c r="J10" s="201">
        <v>20</v>
      </c>
      <c r="K10" s="203">
        <v>4600</v>
      </c>
      <c r="L10" s="203"/>
      <c r="M10" s="203"/>
      <c r="N10" s="203"/>
      <c r="O10" s="204"/>
      <c r="P10" s="23"/>
      <c r="Q10" s="51" t="e">
        <f t="shared" ref="Q10:Q32" si="1">CHOOSE(MATCH(TRUE,$S10:$AB10,0),"Less than z !","Less than 2r+6d !","Less than "&amp;$CM10&amp;"mm !","Less than 2d !","Less than min radius!","Multiples of 5mm !","Less than 2r+2d !","B more than A/5 !","Exceeds 45 deg !","Sketch required")</f>
        <v>#N/A</v>
      </c>
      <c r="R10" s="40"/>
      <c r="S10" s="67" t="b">
        <f>OR(AND(VLOOKUP($J10,table,3,FALSE)=1,$K10&lt;$AR10,$K10&lt;&gt;""),AND(VLOOKUP($J10,table,4,FALSE)=1,$L10&lt;$AR10,$L10&lt;&gt;""),AND(VLOOKUP($J10,table,5,FALSE)=1,$M10&lt;$AR10,$M10&lt;&gt;""),AND(VLOOKUP($J10,table,6,FALSE)=1,$N10&lt;$AR10,$N10&lt;&gt;""),AND(VLOOKUP($J10,table,7,FALSE)=1,$O10&lt;$AR10,$O10&lt;&gt;""))</f>
        <v>0</v>
      </c>
      <c r="T10" s="67" t="b">
        <f>OR(AND(VLOOKUP($J10,table,3,FALSE)=2,$K10&lt;$AS10,$K10&lt;&gt;""),AND(VLOOKUP($J10,table,4,FALSE)=2,$L10&lt;$AS10,$L10&lt;&gt;""),AND(VLOOKUP($J10,table,5,FALSE)=2,$M10&lt;$AS10,$M10&lt;&gt;""),AND(VLOOKUP($J10,table,6,FALSE)=2,$N10&lt;$AS10,$N10&lt;&gt;""))</f>
        <v>0</v>
      </c>
      <c r="U10" s="67" t="b">
        <f t="shared" ref="U10:U32" si="2">AND(OR($J10=61,$J10=78),OR(AND(A&lt;$CM10,A&lt;&gt;""),AND(B&lt;$CM10,B&lt;&gt;"")))</f>
        <v>0</v>
      </c>
      <c r="V10" s="67" t="b">
        <f>OR(AND(VLOOKUP($J10,table,6,FALSE)=4,$N10&lt;2*$E10,$N10&lt;&gt;""),AND(VLOOKUP($J10,table,7,FALSE)=4,$O10&lt;2*$E10,$O10&lt;&gt;""))</f>
        <v>0</v>
      </c>
      <c r="W10" s="67" t="b">
        <f>AND(OR($J10=51,$J10=65),$O10&lt;$AO10,$O10&lt;&gt;"")</f>
        <v>0</v>
      </c>
      <c r="X10" s="67" t="b">
        <f>OR(MOD($K10,5)&gt;0,MOD($L10,5)&gt;0,MOD($M10,5)&gt;0,MOD($N10,5)&gt;0,MOD($O10,5)&gt;0)</f>
        <v>0</v>
      </c>
      <c r="Y10" s="67" t="b">
        <f>OR(AND(OR($J10=82,$J10=39),B&lt;2*(rad+dia),B&lt;&gt;""),AND($J10=85,C_&lt;2*(rad+dia),C_&lt;&gt;""))</f>
        <v>0</v>
      </c>
      <c r="Z10" s="67" t="b">
        <f>AND($J10=87,B&gt;A/5)</f>
        <v>0</v>
      </c>
      <c r="AA10" s="67" t="b">
        <f>OR(AND(OR($J10=41,$J10=43,$J10=42),D&gt;(B+dia)/SQRT(2)),AND($J10=62,B&gt;(A+dia)/SQRT(2)),AND($J10=49,E&gt;(B+dia)/SQRT(2)),AND(OR($J10=45,$J10=49),D&gt;(A+dia)/SQRT(2)))</f>
        <v>0</v>
      </c>
      <c r="AB10" s="67" t="b">
        <f>AND($J10=99,NOT(ISBLANK(A)))</f>
        <v>0</v>
      </c>
      <c r="AC10" s="52"/>
      <c r="AD10" s="67" t="str">
        <f>IF(AND($J10=99,$K10=""),1,"")</f>
        <v/>
      </c>
      <c r="AE10" s="52"/>
      <c r="AF10" s="64">
        <f t="shared" ref="AF10:AF32" si="3">E10</f>
        <v>10</v>
      </c>
      <c r="AG10" s="64">
        <f>2*AF10</f>
        <v>20</v>
      </c>
      <c r="AH10" s="64">
        <f>IF(AND($AF10&gt;0,$AF10&lt;25),100,IF($AF10=25,130,5*$AF10))</f>
        <v>100</v>
      </c>
      <c r="AI10" s="64">
        <f>IF(AND($AF10&gt;0,$AF10&lt;12),100,ROUNDUP(9*$AF10/10,0)*10)</f>
        <v>100</v>
      </c>
      <c r="AJ10" s="64"/>
      <c r="AK10" s="64">
        <f>IF(AF10&lt;25,3*AF10,4*AF10)</f>
        <v>30</v>
      </c>
      <c r="AL10" s="64">
        <f>IF(AND($AF10&gt;0,$AF10&lt;20),100,IF($AF10=20,110,ROUNDUP(7*$AF10/10,0)*10))</f>
        <v>100</v>
      </c>
      <c r="AM10" s="64">
        <f>IF(AND($AF10&gt;0,$AF10&lt;10),100,IF($AF10&lt;25,ROUNDUP(11*$AF10/10,0)*10,ROUNDUP(14*$AF10/10,0)*10))</f>
        <v>110</v>
      </c>
      <c r="AN10" s="53"/>
      <c r="AO10" s="328">
        <f t="shared" ref="AO10:AO32" si="4">IF(OR(D10="R",AND(D10="S",$AL$5=1),AND(D10="X",$AL$5=1)),AG10,AK10)</f>
        <v>30</v>
      </c>
      <c r="AP10" s="328">
        <f t="shared" ref="AP10:AP32" si="5">IF(OR(D10="R",AND(D10="S",$AL$5=1),AND(D10="X",$AL$5=1)),AH10,AL10)</f>
        <v>100</v>
      </c>
      <c r="AQ10" s="328">
        <f t="shared" ref="AQ10:AQ32" si="6">IF(OR(D10="R",AND(D10="S",$AL$5=1),AND(D10="X",$AL$5=1)),AI10,AM10)</f>
        <v>110</v>
      </c>
      <c r="AR10" s="328">
        <f>n+0.43*rad+1.21*AF10</f>
        <v>125</v>
      </c>
      <c r="AS10" s="328">
        <f>6*AF10+2*rad</f>
        <v>120</v>
      </c>
      <c r="AU10" s="74">
        <f>A</f>
        <v>4600</v>
      </c>
      <c r="AV10" s="74">
        <f>A+h</f>
        <v>4710</v>
      </c>
      <c r="AW10" s="74">
        <f>A+2*h</f>
        <v>4820</v>
      </c>
      <c r="AX10" s="74">
        <f>A+n</f>
        <v>4700</v>
      </c>
      <c r="AY10" s="74">
        <f>A+2*n</f>
        <v>4800</v>
      </c>
      <c r="AZ10" s="74">
        <f>A+B-rad/2-dia</f>
        <v>4575</v>
      </c>
      <c r="BA10" s="74">
        <f>A+B+C_-rad-2*dia</f>
        <v>4550</v>
      </c>
      <c r="BB10" s="74">
        <f>A+B+C_</f>
        <v>4600</v>
      </c>
      <c r="BC10" s="74">
        <f>A+2*B+C_+E</f>
        <v>4600</v>
      </c>
      <c r="BD10" s="74">
        <f>A+B-E/2-dia</f>
        <v>4590</v>
      </c>
      <c r="BE10" s="74">
        <f>2*(A+B)+12*dia</f>
        <v>9320</v>
      </c>
      <c r="BF10" s="74">
        <f>A+C_</f>
        <v>4600</v>
      </c>
      <c r="BG10" s="74">
        <f>2*A+3*B+18*dia</f>
        <v>9380</v>
      </c>
      <c r="BH10" s="74">
        <f>A+0.57*B+C_-1.57*dia</f>
        <v>4584.3</v>
      </c>
      <c r="BI10" s="74">
        <f>A+B+C_+n</f>
        <v>4700</v>
      </c>
      <c r="BJ10" s="74">
        <f>A+B+C_-rad/2-dia</f>
        <v>4575</v>
      </c>
      <c r="BK10" s="74">
        <f>A+B+C_</f>
        <v>4600</v>
      </c>
      <c r="BL10" s="76">
        <f>A+B+C_+D-3/2*rad-3*dia</f>
        <v>4525</v>
      </c>
      <c r="BM10" s="76">
        <f>A+B+C_+D+E-2*rad-4*dia</f>
        <v>4500</v>
      </c>
      <c r="BN10" s="76">
        <f>A+B+C_-rad-2*dia</f>
        <v>4550</v>
      </c>
      <c r="BO10" s="76">
        <f>A+B+C_+D+E-2*rad-4*dia</f>
        <v>4500</v>
      </c>
      <c r="BP10" s="76">
        <f>A</f>
        <v>4600</v>
      </c>
      <c r="BQ10" s="76">
        <f>2*A+B+20*dia</f>
        <v>9400</v>
      </c>
      <c r="BR10" s="76">
        <f>2*A+B+C_+3*dia</f>
        <v>9230</v>
      </c>
      <c r="BS10" s="76">
        <f>2*A+3*B+10*dia</f>
        <v>9300</v>
      </c>
      <c r="BT10" s="76">
        <f>A+B+0.57*C_+D-rad/2-2.57*dia</f>
        <v>4559.3</v>
      </c>
      <c r="BU10" s="76">
        <f>IF(ISERR(C_/B*PI()*(A-dia)),0,C_/B*PI()*(A-dia))</f>
        <v>0</v>
      </c>
      <c r="BV10" s="76">
        <f>A</f>
        <v>4600</v>
      </c>
      <c r="BX10" s="74">
        <v>20</v>
      </c>
      <c r="BY10" s="74"/>
      <c r="BZ10" s="74">
        <v>37</v>
      </c>
      <c r="CA10" s="74" t="s">
        <v>142</v>
      </c>
      <c r="CB10" s="74">
        <v>38</v>
      </c>
      <c r="CC10" s="74" t="s">
        <v>143</v>
      </c>
      <c r="CD10" s="74">
        <v>41</v>
      </c>
      <c r="CE10" s="74" t="s">
        <v>143</v>
      </c>
      <c r="CF10" s="74">
        <v>43</v>
      </c>
      <c r="CG10" s="74" t="s">
        <v>145</v>
      </c>
      <c r="CH10" s="74">
        <v>65</v>
      </c>
      <c r="CI10" s="74"/>
      <c r="CJ10" s="74">
        <v>51</v>
      </c>
      <c r="CK10" s="74" t="s">
        <v>142</v>
      </c>
      <c r="CM10" s="64">
        <f>IF(OR(D10="R",AND(D10="S",$AL$5=1),AND(D10="X",$AL$5=1)),100,150)</f>
        <v>150</v>
      </c>
      <c r="CN10" s="292"/>
      <c r="CP10" s="265">
        <f>$C10</f>
        <v>1</v>
      </c>
      <c r="CQ10" s="266">
        <f>$J10</f>
        <v>20</v>
      </c>
      <c r="CR10" s="267" t="str">
        <f>IF(AND($D10="R",$E10=6,deleted&lt;&gt;"X"),$H10*$I10/1000*(PI()*dia^2/4)*0.00785,"")</f>
        <v/>
      </c>
      <c r="CS10" s="267" t="str">
        <f>IF(AND($D10="R",$E10=8,deleted&lt;&gt;"X"),$H10*$I10/1000*(PI()*dia^2/4)*0.00785,"")</f>
        <v/>
      </c>
      <c r="CT10" s="267" t="str">
        <f>IF(AND($D10="R",$E10=10,deleted&lt;&gt;"X"),$H10*$I10/1000*(PI()*dia^2/4)*0.00785,"")</f>
        <v/>
      </c>
      <c r="CU10" s="267" t="str">
        <f>IF(AND($D10="R",$E10=12,deleted&lt;&gt;"X"),$H10*$I10/1000*(PI()*dia^2/4)*0.00785,"")</f>
        <v/>
      </c>
      <c r="CV10" s="267" t="str">
        <f>IF(AND($D10="R",$E10=16,deleted&lt;&gt;"X"),$H10*$I10/1000*(PI()*dia^2/4)*0.00785,"")</f>
        <v/>
      </c>
      <c r="CW10" s="267" t="str">
        <f>IF(AND($D10="R",$E10=20,deleted&lt;&gt;"X"),$H10*$I10/1000*(PI()*dia^2/4)*0.00785,"")</f>
        <v/>
      </c>
      <c r="CX10" s="267" t="str">
        <f>IF(AND($D10="R",$E10=25,deleted&lt;&gt;"X"),$H10*$I10/1000*(PI()*dia^2/4)*0.00785,"")</f>
        <v/>
      </c>
      <c r="CY10" s="267" t="str">
        <f>IF(AND($D10="R",$E10=32,deleted&lt;&gt;"X"),$H10*$I10/1000*(PI()*dia^2/4)*0.00785,"")</f>
        <v/>
      </c>
      <c r="CZ10" s="267" t="str">
        <f>IF(AND($D10="R",$E10=40,deleted&lt;&gt;"X"),$H10*$I10/1000*(PI()*dia^2/4)*0.00785,"")</f>
        <v/>
      </c>
      <c r="DA10" s="267" t="str">
        <f>IF(AND($D10="R",$E10=50,deleted&lt;&gt;"X"),$H10*$I10/1000*(PI()*dia^2/4)*0.00785,"")</f>
        <v/>
      </c>
      <c r="DB10" s="267" t="str">
        <f>IF(AND($D10="T",$E10=6,deleted&lt;&gt;"X"),$H10*$I10/1000*(PI()*dia^2/4)*0.00785,"")</f>
        <v/>
      </c>
      <c r="DC10" s="267" t="str">
        <f>IF(AND($D10="T",$E10=8,deleted&lt;&gt;"X"),$H10*$I10/1000*(PI()*dia^2/4)*0.00785,"")</f>
        <v/>
      </c>
      <c r="DD10" s="267">
        <f>IF(AND($D10="T",$E10=10,deleted&lt;&gt;"X"),$H10*$I10/1000*(PI()*dia^2/4)*0.00785,"")</f>
        <v>17.016436608169116</v>
      </c>
      <c r="DE10" s="267" t="str">
        <f>IF(AND($D10="T",$E10=12,deleted&lt;&gt;"X"),$H10*$I10/1000*(PI()*dia^2/4)*0.00785,"")</f>
        <v/>
      </c>
      <c r="DF10" s="267" t="str">
        <f>IF(AND($D10="T",$E10=16,deleted&lt;&gt;"X"),$H10*$I10/1000*(PI()*dia^2/4)*0.00785,"")</f>
        <v/>
      </c>
      <c r="DG10" s="267" t="str">
        <f>IF(AND($D10="T",$E10=20,deleted&lt;&gt;"X"),$H10*$I10/1000*(PI()*dia^2/4)*0.00785,"")</f>
        <v/>
      </c>
      <c r="DH10" s="267" t="str">
        <f>IF(AND($D10="T",$E10=25,deleted&lt;&gt;"X"),$H10*$I10/1000*(PI()*dia^2/4)*0.00785,"")</f>
        <v/>
      </c>
      <c r="DI10" s="267" t="str">
        <f>IF(AND($D10="T",$E10=32,deleted&lt;&gt;"X"),$H10*$I10/1000*(PI()*dia^2/4)*0.00785,"")</f>
        <v/>
      </c>
      <c r="DJ10" s="267" t="str">
        <f>IF(AND($D10="T",$E10=40,deleted&lt;&gt;"X"),$H10*$I10/1000*(PI()*dia^2/4)*0.00785,"")</f>
        <v/>
      </c>
      <c r="DK10" s="267" t="str">
        <f>IF(AND($D10="T",$E10=50,deleted&lt;&gt;"X"),$H10*$I10/1000*(PI()*dia^2/4)*0.00785,"")</f>
        <v/>
      </c>
    </row>
    <row r="11" spans="2:115" ht="27" customHeight="1">
      <c r="B11" s="14"/>
      <c r="C11" s="198">
        <v>2</v>
      </c>
      <c r="D11" s="196" t="s">
        <v>373</v>
      </c>
      <c r="E11" s="197">
        <v>10</v>
      </c>
      <c r="F11" s="198">
        <v>2</v>
      </c>
      <c r="G11" s="198">
        <v>25</v>
      </c>
      <c r="H11" s="199">
        <f t="shared" ref="H11:H32" si="7">$F11*$G11</f>
        <v>50</v>
      </c>
      <c r="I11" s="200">
        <f t="shared" si="0"/>
        <v>700</v>
      </c>
      <c r="J11" s="201">
        <v>35</v>
      </c>
      <c r="K11" s="332">
        <v>500</v>
      </c>
      <c r="L11" s="332"/>
      <c r="M11" s="332"/>
      <c r="N11" s="332"/>
      <c r="O11" s="332"/>
      <c r="P11" s="23"/>
      <c r="Q11" s="51" t="e">
        <f t="shared" si="1"/>
        <v>#N/A</v>
      </c>
      <c r="R11" s="40"/>
      <c r="S11" s="67" t="b">
        <f t="shared" ref="S11:S32" si="8">OR(AND(VLOOKUP($J11,table,3,FALSE)=1,$K11&lt;$AR11,$K11&lt;&gt;""),AND(VLOOKUP($J11,table,4,FALSE)=1,$L11&lt;$AR11,$L11&lt;&gt;""),AND(VLOOKUP($J11,table,5,FALSE)=1,$M11&lt;$AR11,$M11&lt;&gt;""),AND(VLOOKUP($J11,table,6,FALSE)=1,$N11&lt;$AR11,$N11&lt;&gt;""),AND(VLOOKUP($J11,table,7,FALSE)=1,$O11&lt;$AR11,$O11&lt;&gt;""))</f>
        <v>0</v>
      </c>
      <c r="T11" s="67" t="b">
        <f t="shared" ref="T11:T32" si="9">OR(AND(VLOOKUP($J11,table,3,FALSE)=2,$K11&lt;$AS11,$K11&lt;&gt;""),AND(VLOOKUP($J11,table,4,FALSE)=2,$L11&lt;$AS11,$L11&lt;&gt;""),AND(VLOOKUP($J11,table,5,FALSE)=2,$M11&lt;$AS11,$M11&lt;&gt;""),AND(VLOOKUP($J11,table,6,FALSE)=2,$N11&lt;$AS11,$N11&lt;&gt;""))</f>
        <v>0</v>
      </c>
      <c r="U11" s="67" t="b">
        <f t="shared" si="2"/>
        <v>0</v>
      </c>
      <c r="V11" s="67" t="b">
        <f t="shared" ref="V11:V32" si="10">OR(AND(VLOOKUP($J11,table,6,FALSE)=4,$N11&lt;2*$E11,$N11&lt;&gt;""),AND(VLOOKUP($J11,table,7,FALSE)=4,$O11&lt;2*$E11,$O11&lt;&gt;""))</f>
        <v>0</v>
      </c>
      <c r="W11" s="67" t="b">
        <f t="shared" ref="W11:W32" si="11">AND(OR($J11=51,$J11=65),$O11&lt;$AO11,$O11&lt;&gt;"")</f>
        <v>0</v>
      </c>
      <c r="X11" s="67" t="b">
        <f t="shared" ref="X11:X32" si="12">OR(MOD($K11,5)&gt;0,MOD($L11,5)&gt;0,MOD($M11,5)&gt;0,MOD($N11,5)&gt;0,MOD($O11,5)&gt;0)</f>
        <v>0</v>
      </c>
      <c r="Y11" s="67" t="b">
        <f t="shared" ref="Y11:Y32" si="13">OR(AND(OR($J11=82,$J11=39),B&lt;2*(rad+dia),B&lt;&gt;""),AND($J11=85,C_&lt;2*(rad+dia),C_&lt;&gt;""))</f>
        <v>0</v>
      </c>
      <c r="Z11" s="67" t="b">
        <f t="shared" ref="Z11:Z32" si="14">AND($J11=87,B&gt;A/5)</f>
        <v>0</v>
      </c>
      <c r="AA11" s="67" t="b">
        <f t="shared" ref="AA11:AA32" si="15">OR(AND(OR($J11=41,$J11=43,$J11=42),D&gt;(B+dia)/SQRT(2)),AND($J11=62,B&gt;(A+dia)/SQRT(2)),AND($J11=49,E&gt;(B+dia)/SQRT(2)),AND(OR($J11=45,$J11=49),D&gt;(A+dia)/SQRT(2)))</f>
        <v>0</v>
      </c>
      <c r="AB11" s="67" t="b">
        <f t="shared" ref="AB11:AB32" si="16">AND($J11=99,NOT(ISBLANK(A)))</f>
        <v>0</v>
      </c>
      <c r="AC11" s="52"/>
      <c r="AD11" s="67" t="str">
        <f t="shared" ref="AD11:AD32" si="17">IF(AND($J11=99,$K11=""),1,"")</f>
        <v/>
      </c>
      <c r="AE11" s="52"/>
      <c r="AF11" s="64">
        <f t="shared" si="3"/>
        <v>10</v>
      </c>
      <c r="AG11" s="64">
        <f t="shared" ref="AG11:AG32" si="18">2*AF11</f>
        <v>20</v>
      </c>
      <c r="AH11" s="64">
        <f t="shared" ref="AH11:AH32" si="19">IF(AND($AF11&gt;0,$AF11&lt;25),100,IF($AF11=25,130,5*$AF11))</f>
        <v>100</v>
      </c>
      <c r="AI11" s="64">
        <f t="shared" ref="AI11:AI32" si="20">IF(AND($AF11&gt;0,$AF11&lt;12),100,ROUNDUP(9*$AF11/10,0)*10)</f>
        <v>100</v>
      </c>
      <c r="AJ11" s="64"/>
      <c r="AK11" s="64">
        <f t="shared" ref="AK11:AK32" si="21">IF(AF11&lt;25,3*AF11,4*AF11)</f>
        <v>30</v>
      </c>
      <c r="AL11" s="64">
        <f t="shared" ref="AL11:AL32" si="22">IF(AND($AF11&gt;0,$AF11&lt;20),100,IF($AF11=20,110,ROUNDUP(7*$AF11/10,0)*10))</f>
        <v>100</v>
      </c>
      <c r="AM11" s="64">
        <f t="shared" ref="AM11:AM32" si="23">IF(AND($AF11&gt;0,$AF11&lt;10),100,IF($AF11&lt;25,ROUNDUP(11*$AF11/10,0)*10,ROUNDUP(14*$AF11/10,0)*10))</f>
        <v>110</v>
      </c>
      <c r="AN11" s="53"/>
      <c r="AO11" s="329">
        <f t="shared" si="4"/>
        <v>30</v>
      </c>
      <c r="AP11" s="329">
        <f t="shared" si="5"/>
        <v>100</v>
      </c>
      <c r="AQ11" s="329">
        <f t="shared" si="6"/>
        <v>110</v>
      </c>
      <c r="AR11" s="329">
        <f t="shared" ref="AR11:AR32" si="24">n+0.43*rad+1.21*AF11</f>
        <v>125</v>
      </c>
      <c r="AS11" s="329">
        <f t="shared" ref="AS11:AS32" si="25">6*AF11+2*rad</f>
        <v>120</v>
      </c>
      <c r="AU11" s="74">
        <f t="shared" ref="AU11:AU32" si="26">A</f>
        <v>500</v>
      </c>
      <c r="AV11" s="74">
        <f t="shared" ref="AV11:AV32" si="27">A+h</f>
        <v>610</v>
      </c>
      <c r="AW11" s="74">
        <f t="shared" ref="AW11:AW32" si="28">A+2*h</f>
        <v>720</v>
      </c>
      <c r="AX11" s="74">
        <f t="shared" ref="AX11:AX32" si="29">A+n</f>
        <v>600</v>
      </c>
      <c r="AY11" s="74">
        <f t="shared" ref="AY11:AY32" si="30">A+2*n</f>
        <v>700</v>
      </c>
      <c r="AZ11" s="74">
        <f t="shared" ref="AZ11:AZ32" si="31">A+B-rad/2-dia</f>
        <v>475</v>
      </c>
      <c r="BA11" s="74">
        <f t="shared" ref="BA11:BA32" si="32">A+B+C_-rad-2*dia</f>
        <v>450</v>
      </c>
      <c r="BB11" s="74">
        <f t="shared" ref="BB11:BB32" si="33">A+B+C_</f>
        <v>500</v>
      </c>
      <c r="BC11" s="74">
        <f t="shared" ref="BC11:BC32" si="34">A+2*B+C_+E</f>
        <v>500</v>
      </c>
      <c r="BD11" s="74">
        <f t="shared" ref="BD11:BD32" si="35">A+B-E/2-dia</f>
        <v>490</v>
      </c>
      <c r="BE11" s="74">
        <f t="shared" ref="BE11:BE32" si="36">2*(A+B)+12*dia</f>
        <v>1120</v>
      </c>
      <c r="BF11" s="74">
        <f t="shared" ref="BF11:BF32" si="37">A+C_</f>
        <v>500</v>
      </c>
      <c r="BG11" s="74">
        <f t="shared" ref="BG11:BG32" si="38">2*A+3*B+18*dia</f>
        <v>1180</v>
      </c>
      <c r="BH11" s="74">
        <f t="shared" ref="BH11:BH32" si="39">A+0.57*B+C_-1.57*dia</f>
        <v>484.3</v>
      </c>
      <c r="BI11" s="74">
        <f t="shared" ref="BI11:BI32" si="40">A+B+C_+n</f>
        <v>600</v>
      </c>
      <c r="BJ11" s="74">
        <f t="shared" ref="BJ11:BJ32" si="41">A+B+C_-rad/2-dia</f>
        <v>475</v>
      </c>
      <c r="BK11" s="74">
        <f t="shared" ref="BK11:BK32" si="42">A+B+C_</f>
        <v>500</v>
      </c>
      <c r="BL11" s="76">
        <f t="shared" ref="BL11:BL32" si="43">A+B+C_+D-3/2*rad-3*dia</f>
        <v>425</v>
      </c>
      <c r="BM11" s="76">
        <f t="shared" ref="BM11:BM32" si="44">A+B+C_+D+E-2*rad-4*dia</f>
        <v>400</v>
      </c>
      <c r="BN11" s="76">
        <f t="shared" ref="BN11:BN32" si="45">A+B+C_-rad-2*dia</f>
        <v>450</v>
      </c>
      <c r="BO11" s="76">
        <f t="shared" ref="BO11:BO32" si="46">A+B+C_+D+E-2*rad-4*dia</f>
        <v>400</v>
      </c>
      <c r="BP11" s="76">
        <f t="shared" ref="BP11:BP32" si="47">A</f>
        <v>500</v>
      </c>
      <c r="BQ11" s="76">
        <f t="shared" ref="BQ11:BQ32" si="48">2*A+B+20*dia</f>
        <v>1200</v>
      </c>
      <c r="BR11" s="76">
        <f t="shared" ref="BR11:BR32" si="49">2*A+B+C_+3*dia</f>
        <v>1030</v>
      </c>
      <c r="BS11" s="76">
        <f t="shared" ref="BS11:BS32" si="50">2*A+3*B+10*dia</f>
        <v>1100</v>
      </c>
      <c r="BT11" s="76">
        <f t="shared" ref="BT11:BT32" si="51">A+B+0.57*C_+D-rad/2-2.57*dia</f>
        <v>459.3</v>
      </c>
      <c r="BU11" s="76">
        <f t="shared" ref="BU11:BU32" si="52">IF(ISERR(C_/B*PI()*(A-dia)),0,C_/B*PI()*(A-dia))</f>
        <v>0</v>
      </c>
      <c r="BV11" s="76">
        <f t="shared" ref="BV11:BV32" si="53">A</f>
        <v>500</v>
      </c>
      <c r="BX11" s="74">
        <v>32</v>
      </c>
      <c r="BY11" s="74"/>
      <c r="BZ11" s="74">
        <v>61</v>
      </c>
      <c r="CA11" s="74"/>
      <c r="CB11" s="74">
        <v>62</v>
      </c>
      <c r="CC11" s="74" t="s">
        <v>143</v>
      </c>
      <c r="CD11" s="74">
        <v>42</v>
      </c>
      <c r="CE11" s="74"/>
      <c r="CF11" s="74">
        <v>49</v>
      </c>
      <c r="CG11" s="74" t="s">
        <v>143</v>
      </c>
      <c r="CH11" s="74"/>
      <c r="CI11" s="74"/>
      <c r="CJ11" s="74"/>
      <c r="CK11" s="74"/>
      <c r="CM11" s="64">
        <f t="shared" ref="CM11:CM32" si="54">IF(OR(D11="R",AND(D11="S",$AL$5=1),AND(D11="X",$AL$5=1)),100,150)</f>
        <v>150</v>
      </c>
      <c r="CN11" s="292"/>
      <c r="CP11" s="265">
        <f t="shared" ref="CP11:CP32" si="55">$C11</f>
        <v>2</v>
      </c>
      <c r="CQ11" s="266">
        <f t="shared" ref="CQ11:CQ32" si="56">$J11</f>
        <v>35</v>
      </c>
      <c r="CR11" s="267" t="str">
        <f t="shared" ref="CR11:CR32" si="57">IF(AND($D11="R",$E11=6,deleted&lt;&gt;"X"),$H11*$I11/1000*(PI()*dia^2/4)*0.00785,"")</f>
        <v/>
      </c>
      <c r="CS11" s="267" t="str">
        <f t="shared" ref="CS11:CS32" si="58">IF(AND($D11="R",$E11=8,deleted&lt;&gt;"X"),$H11*$I11/1000*(PI()*dia^2/4)*0.00785,"")</f>
        <v/>
      </c>
      <c r="CT11" s="267" t="str">
        <f t="shared" ref="CT11:CT32" si="59">IF(AND($D11="R",$E11=10,deleted&lt;&gt;"X"),$H11*$I11/1000*(PI()*dia^2/4)*0.00785,"")</f>
        <v/>
      </c>
      <c r="CU11" s="267" t="str">
        <f t="shared" ref="CU11:CU32" si="60">IF(AND($D11="R",$E11=12,deleted&lt;&gt;"X"),$H11*$I11/1000*(PI()*dia^2/4)*0.00785,"")</f>
        <v/>
      </c>
      <c r="CV11" s="267" t="str">
        <f t="shared" ref="CV11:CV32" si="61">IF(AND($D11="R",$E11=16,deleted&lt;&gt;"X"),$H11*$I11/1000*(PI()*dia^2/4)*0.00785,"")</f>
        <v/>
      </c>
      <c r="CW11" s="267" t="str">
        <f t="shared" ref="CW11:CW32" si="62">IF(AND($D11="R",$E11=20,deleted&lt;&gt;"X"),$H11*$I11/1000*(PI()*dia^2/4)*0.00785,"")</f>
        <v/>
      </c>
      <c r="CX11" s="267" t="str">
        <f t="shared" ref="CX11:CX32" si="63">IF(AND($D11="R",$E11=25,deleted&lt;&gt;"X"),$H11*$I11/1000*(PI()*dia^2/4)*0.00785,"")</f>
        <v/>
      </c>
      <c r="CY11" s="267" t="str">
        <f t="shared" ref="CY11:CY32" si="64">IF(AND($D11="R",$E11=32,deleted&lt;&gt;"X"),$H11*$I11/1000*(PI()*dia^2/4)*0.00785,"")</f>
        <v/>
      </c>
      <c r="CZ11" s="267" t="str">
        <f t="shared" ref="CZ11:CZ32" si="65">IF(AND($D11="R",$E11=40,deleted&lt;&gt;"X"),$H11*$I11/1000*(PI()*dia^2/4)*0.00785,"")</f>
        <v/>
      </c>
      <c r="DA11" s="267" t="str">
        <f t="shared" ref="DA11:DA32" si="66">IF(AND($D11="R",$E11=50,deleted&lt;&gt;"X"),$H11*$I11/1000*(PI()*dia^2/4)*0.00785,"")</f>
        <v/>
      </c>
      <c r="DB11" s="267" t="str">
        <f t="shared" ref="DB11:DB32" si="67">IF(AND($D11="T",$E11=6,deleted&lt;&gt;"X"),$H11*$I11/1000*(PI()*dia^2/4)*0.00785,"")</f>
        <v/>
      </c>
      <c r="DC11" s="267" t="str">
        <f t="shared" ref="DC11:DC32" si="68">IF(AND($D11="T",$E11=8,deleted&lt;&gt;"X"),$H11*$I11/1000*(PI()*dia^2/4)*0.00785,"")</f>
        <v/>
      </c>
      <c r="DD11" s="267">
        <f t="shared" ref="DD11:DD32" si="69">IF(AND($D11="T",$E11=10,deleted&lt;&gt;"X"),$H11*$I11/1000*(PI()*dia^2/4)*0.00785,"")</f>
        <v>21.578814539344894</v>
      </c>
      <c r="DE11" s="267" t="str">
        <f t="shared" ref="DE11:DE32" si="70">IF(AND($D11="T",$E11=12,deleted&lt;&gt;"X"),$H11*$I11/1000*(PI()*dia^2/4)*0.00785,"")</f>
        <v/>
      </c>
      <c r="DF11" s="267" t="str">
        <f t="shared" ref="DF11:DF32" si="71">IF(AND($D11="T",$E11=16,deleted&lt;&gt;"X"),$H11*$I11/1000*(PI()*dia^2/4)*0.00785,"")</f>
        <v/>
      </c>
      <c r="DG11" s="267" t="str">
        <f t="shared" ref="DG11:DG32" si="72">IF(AND($D11="T",$E11=20,deleted&lt;&gt;"X"),$H11*$I11/1000*(PI()*dia^2/4)*0.00785,"")</f>
        <v/>
      </c>
      <c r="DH11" s="267" t="str">
        <f t="shared" ref="DH11:DH32" si="73">IF(AND($D11="T",$E11=25,deleted&lt;&gt;"X"),$H11*$I11/1000*(PI()*dia^2/4)*0.00785,"")</f>
        <v/>
      </c>
      <c r="DI11" s="267" t="str">
        <f t="shared" ref="DI11:DI32" si="74">IF(AND($D11="T",$E11=32,deleted&lt;&gt;"X"),$H11*$I11/1000*(PI()*dia^2/4)*0.00785,"")</f>
        <v/>
      </c>
      <c r="DJ11" s="267" t="str">
        <f t="shared" ref="DJ11:DJ32" si="75">IF(AND($D11="T",$E11=40,deleted&lt;&gt;"X"),$H11*$I11/1000*(PI()*dia^2/4)*0.00785,"")</f>
        <v/>
      </c>
      <c r="DK11" s="267" t="str">
        <f t="shared" ref="DK11:DK32" si="76">IF(AND($D11="T",$E11=50,deleted&lt;&gt;"X"),$H11*$I11/1000*(PI()*dia^2/4)*0.00785,"")</f>
        <v/>
      </c>
    </row>
    <row r="12" spans="2:115" ht="27" customHeight="1">
      <c r="B12" s="14"/>
      <c r="C12" s="198">
        <v>3</v>
      </c>
      <c r="D12" s="196" t="s">
        <v>373</v>
      </c>
      <c r="E12" s="197">
        <v>10</v>
      </c>
      <c r="F12" s="198">
        <v>2</v>
      </c>
      <c r="G12" s="198">
        <v>3</v>
      </c>
      <c r="H12" s="199">
        <f t="shared" si="7"/>
        <v>6</v>
      </c>
      <c r="I12" s="200">
        <f t="shared" si="0"/>
        <v>4350</v>
      </c>
      <c r="J12" s="201">
        <v>20</v>
      </c>
      <c r="K12" s="203">
        <v>4350</v>
      </c>
      <c r="L12" s="332"/>
      <c r="M12" s="332"/>
      <c r="N12" s="332"/>
      <c r="O12" s="332"/>
      <c r="P12" s="23"/>
      <c r="Q12" s="51" t="e">
        <f t="shared" si="1"/>
        <v>#N/A</v>
      </c>
      <c r="R12" s="40"/>
      <c r="S12" s="67" t="b">
        <f t="shared" si="8"/>
        <v>0</v>
      </c>
      <c r="T12" s="67" t="b">
        <f t="shared" si="9"/>
        <v>0</v>
      </c>
      <c r="U12" s="67" t="b">
        <f t="shared" si="2"/>
        <v>0</v>
      </c>
      <c r="V12" s="67" t="b">
        <f t="shared" si="10"/>
        <v>0</v>
      </c>
      <c r="W12" s="67" t="b">
        <f t="shared" si="11"/>
        <v>0</v>
      </c>
      <c r="X12" s="67" t="b">
        <f t="shared" si="12"/>
        <v>0</v>
      </c>
      <c r="Y12" s="67" t="b">
        <f t="shared" si="13"/>
        <v>0</v>
      </c>
      <c r="Z12" s="67" t="b">
        <f t="shared" si="14"/>
        <v>0</v>
      </c>
      <c r="AA12" s="67" t="b">
        <f t="shared" si="15"/>
        <v>0</v>
      </c>
      <c r="AB12" s="67" t="b">
        <f t="shared" si="16"/>
        <v>0</v>
      </c>
      <c r="AC12" s="52"/>
      <c r="AD12" s="67" t="str">
        <f t="shared" si="17"/>
        <v/>
      </c>
      <c r="AE12" s="52"/>
      <c r="AF12" s="64">
        <f t="shared" si="3"/>
        <v>10</v>
      </c>
      <c r="AG12" s="64">
        <f t="shared" si="18"/>
        <v>20</v>
      </c>
      <c r="AH12" s="64">
        <f t="shared" si="19"/>
        <v>100</v>
      </c>
      <c r="AI12" s="64">
        <f t="shared" si="20"/>
        <v>100</v>
      </c>
      <c r="AJ12" s="64"/>
      <c r="AK12" s="64">
        <f t="shared" si="21"/>
        <v>30</v>
      </c>
      <c r="AL12" s="64">
        <f t="shared" si="22"/>
        <v>100</v>
      </c>
      <c r="AM12" s="64">
        <f t="shared" si="23"/>
        <v>110</v>
      </c>
      <c r="AN12" s="53"/>
      <c r="AO12" s="329">
        <f t="shared" si="4"/>
        <v>30</v>
      </c>
      <c r="AP12" s="329">
        <f t="shared" si="5"/>
        <v>100</v>
      </c>
      <c r="AQ12" s="329">
        <f t="shared" si="6"/>
        <v>110</v>
      </c>
      <c r="AR12" s="329">
        <f t="shared" si="24"/>
        <v>125</v>
      </c>
      <c r="AS12" s="329">
        <f t="shared" si="25"/>
        <v>120</v>
      </c>
      <c r="AU12" s="74">
        <f t="shared" si="26"/>
        <v>4350</v>
      </c>
      <c r="AV12" s="74">
        <f t="shared" si="27"/>
        <v>4460</v>
      </c>
      <c r="AW12" s="74">
        <f t="shared" si="28"/>
        <v>4570</v>
      </c>
      <c r="AX12" s="74">
        <f t="shared" si="29"/>
        <v>4450</v>
      </c>
      <c r="AY12" s="74">
        <f t="shared" si="30"/>
        <v>4550</v>
      </c>
      <c r="AZ12" s="74">
        <f t="shared" si="31"/>
        <v>4325</v>
      </c>
      <c r="BA12" s="74">
        <f t="shared" si="32"/>
        <v>4300</v>
      </c>
      <c r="BB12" s="74">
        <f t="shared" si="33"/>
        <v>4350</v>
      </c>
      <c r="BC12" s="74">
        <f t="shared" si="34"/>
        <v>4350</v>
      </c>
      <c r="BD12" s="74">
        <f t="shared" si="35"/>
        <v>4340</v>
      </c>
      <c r="BE12" s="74">
        <f t="shared" si="36"/>
        <v>8820</v>
      </c>
      <c r="BF12" s="74">
        <f t="shared" si="37"/>
        <v>4350</v>
      </c>
      <c r="BG12" s="74">
        <f t="shared" si="38"/>
        <v>8880</v>
      </c>
      <c r="BH12" s="74">
        <f t="shared" si="39"/>
        <v>4334.3</v>
      </c>
      <c r="BI12" s="74">
        <f t="shared" si="40"/>
        <v>4450</v>
      </c>
      <c r="BJ12" s="74">
        <f t="shared" si="41"/>
        <v>4325</v>
      </c>
      <c r="BK12" s="74">
        <f t="shared" si="42"/>
        <v>4350</v>
      </c>
      <c r="BL12" s="76">
        <f t="shared" si="43"/>
        <v>4275</v>
      </c>
      <c r="BM12" s="76">
        <f t="shared" si="44"/>
        <v>4250</v>
      </c>
      <c r="BN12" s="76">
        <f t="shared" si="45"/>
        <v>4300</v>
      </c>
      <c r="BO12" s="76">
        <f t="shared" si="46"/>
        <v>4250</v>
      </c>
      <c r="BP12" s="76">
        <f t="shared" si="47"/>
        <v>4350</v>
      </c>
      <c r="BQ12" s="76">
        <f t="shared" si="48"/>
        <v>8900</v>
      </c>
      <c r="BR12" s="76">
        <f t="shared" si="49"/>
        <v>8730</v>
      </c>
      <c r="BS12" s="76">
        <f t="shared" si="50"/>
        <v>8800</v>
      </c>
      <c r="BT12" s="76">
        <f t="shared" si="51"/>
        <v>4309.3</v>
      </c>
      <c r="BU12" s="76">
        <f t="shared" si="52"/>
        <v>0</v>
      </c>
      <c r="BV12" s="76">
        <f t="shared" si="53"/>
        <v>4350</v>
      </c>
      <c r="BX12" s="74">
        <v>33</v>
      </c>
      <c r="BY12" s="74"/>
      <c r="BZ12" s="74">
        <v>82</v>
      </c>
      <c r="CA12" s="74"/>
      <c r="CB12" s="74">
        <v>39</v>
      </c>
      <c r="CC12" s="74" t="s">
        <v>143</v>
      </c>
      <c r="CD12" s="74">
        <v>45</v>
      </c>
      <c r="CE12" s="74" t="s">
        <v>143</v>
      </c>
      <c r="CF12" s="74">
        <v>53</v>
      </c>
      <c r="CG12" s="74" t="s">
        <v>145</v>
      </c>
      <c r="CH12" s="74"/>
      <c r="CI12" s="74"/>
      <c r="CJ12" s="74"/>
      <c r="CK12" s="74"/>
      <c r="CM12" s="64">
        <f t="shared" si="54"/>
        <v>150</v>
      </c>
      <c r="CN12" s="292"/>
      <c r="CP12" s="265">
        <f t="shared" si="55"/>
        <v>3</v>
      </c>
      <c r="CQ12" s="266">
        <f t="shared" si="56"/>
        <v>20</v>
      </c>
      <c r="CR12" s="267" t="str">
        <f t="shared" si="57"/>
        <v/>
      </c>
      <c r="CS12" s="267" t="str">
        <f t="shared" si="58"/>
        <v/>
      </c>
      <c r="CT12" s="267" t="str">
        <f t="shared" si="59"/>
        <v/>
      </c>
      <c r="CU12" s="267" t="str">
        <f t="shared" si="60"/>
        <v/>
      </c>
      <c r="CV12" s="267" t="str">
        <f t="shared" si="61"/>
        <v/>
      </c>
      <c r="CW12" s="267" t="str">
        <f t="shared" si="62"/>
        <v/>
      </c>
      <c r="CX12" s="267" t="str">
        <f t="shared" si="63"/>
        <v/>
      </c>
      <c r="CY12" s="267" t="str">
        <f t="shared" si="64"/>
        <v/>
      </c>
      <c r="CZ12" s="267" t="str">
        <f t="shared" si="65"/>
        <v/>
      </c>
      <c r="DA12" s="267" t="str">
        <f t="shared" si="66"/>
        <v/>
      </c>
      <c r="DB12" s="267" t="str">
        <f t="shared" si="67"/>
        <v/>
      </c>
      <c r="DC12" s="267" t="str">
        <f t="shared" si="68"/>
        <v/>
      </c>
      <c r="DD12" s="267">
        <f t="shared" si="69"/>
        <v>16.091630270768619</v>
      </c>
      <c r="DE12" s="267" t="str">
        <f t="shared" si="70"/>
        <v/>
      </c>
      <c r="DF12" s="267" t="str">
        <f t="shared" si="71"/>
        <v/>
      </c>
      <c r="DG12" s="267" t="str">
        <f t="shared" si="72"/>
        <v/>
      </c>
      <c r="DH12" s="267" t="str">
        <f t="shared" si="73"/>
        <v/>
      </c>
      <c r="DI12" s="267" t="str">
        <f t="shared" si="74"/>
        <v/>
      </c>
      <c r="DJ12" s="267" t="str">
        <f t="shared" si="75"/>
        <v/>
      </c>
      <c r="DK12" s="267" t="str">
        <f t="shared" si="76"/>
        <v/>
      </c>
    </row>
    <row r="13" spans="2:115" ht="27" customHeight="1">
      <c r="B13" s="14"/>
      <c r="C13" s="198">
        <v>4</v>
      </c>
      <c r="D13" s="196" t="s">
        <v>373</v>
      </c>
      <c r="E13" s="197">
        <v>10</v>
      </c>
      <c r="F13" s="198">
        <v>2</v>
      </c>
      <c r="G13" s="198">
        <v>23</v>
      </c>
      <c r="H13" s="199">
        <f t="shared" si="7"/>
        <v>46</v>
      </c>
      <c r="I13" s="200">
        <f t="shared" si="0"/>
        <v>700</v>
      </c>
      <c r="J13" s="201">
        <v>35</v>
      </c>
      <c r="K13" s="332">
        <v>500</v>
      </c>
      <c r="L13" s="332"/>
      <c r="M13" s="332"/>
      <c r="N13" s="332"/>
      <c r="O13" s="332"/>
      <c r="P13" s="23"/>
      <c r="Q13" s="51" t="e">
        <f t="shared" si="1"/>
        <v>#N/A</v>
      </c>
      <c r="R13" s="40"/>
      <c r="S13" s="67" t="b">
        <f t="shared" si="8"/>
        <v>0</v>
      </c>
      <c r="T13" s="67" t="b">
        <f t="shared" si="9"/>
        <v>0</v>
      </c>
      <c r="U13" s="67" t="b">
        <f t="shared" si="2"/>
        <v>0</v>
      </c>
      <c r="V13" s="67" t="b">
        <f t="shared" si="10"/>
        <v>0</v>
      </c>
      <c r="W13" s="67" t="b">
        <f t="shared" si="11"/>
        <v>0</v>
      </c>
      <c r="X13" s="67" t="b">
        <f t="shared" si="12"/>
        <v>0</v>
      </c>
      <c r="Y13" s="67" t="b">
        <f t="shared" si="13"/>
        <v>0</v>
      </c>
      <c r="Z13" s="67" t="b">
        <f t="shared" si="14"/>
        <v>0</v>
      </c>
      <c r="AA13" s="67" t="b">
        <f t="shared" si="15"/>
        <v>0</v>
      </c>
      <c r="AB13" s="67" t="b">
        <f t="shared" si="16"/>
        <v>0</v>
      </c>
      <c r="AC13" s="52"/>
      <c r="AD13" s="67" t="str">
        <f t="shared" si="17"/>
        <v/>
      </c>
      <c r="AE13" s="52"/>
      <c r="AF13" s="64">
        <f t="shared" si="3"/>
        <v>10</v>
      </c>
      <c r="AG13" s="64">
        <f t="shared" si="18"/>
        <v>20</v>
      </c>
      <c r="AH13" s="64">
        <f t="shared" si="19"/>
        <v>100</v>
      </c>
      <c r="AI13" s="64">
        <f t="shared" si="20"/>
        <v>100</v>
      </c>
      <c r="AJ13" s="64"/>
      <c r="AK13" s="64">
        <f t="shared" si="21"/>
        <v>30</v>
      </c>
      <c r="AL13" s="64">
        <f t="shared" si="22"/>
        <v>100</v>
      </c>
      <c r="AM13" s="64">
        <f t="shared" si="23"/>
        <v>110</v>
      </c>
      <c r="AN13" s="53"/>
      <c r="AO13" s="329">
        <f t="shared" si="4"/>
        <v>30</v>
      </c>
      <c r="AP13" s="329">
        <f t="shared" si="5"/>
        <v>100</v>
      </c>
      <c r="AQ13" s="329">
        <f t="shared" si="6"/>
        <v>110</v>
      </c>
      <c r="AR13" s="329">
        <f t="shared" si="24"/>
        <v>125</v>
      </c>
      <c r="AS13" s="329">
        <f t="shared" si="25"/>
        <v>120</v>
      </c>
      <c r="AU13" s="74">
        <f t="shared" si="26"/>
        <v>500</v>
      </c>
      <c r="AV13" s="74">
        <f t="shared" si="27"/>
        <v>610</v>
      </c>
      <c r="AW13" s="74">
        <f t="shared" si="28"/>
        <v>720</v>
      </c>
      <c r="AX13" s="74">
        <f t="shared" si="29"/>
        <v>600</v>
      </c>
      <c r="AY13" s="74">
        <f t="shared" si="30"/>
        <v>700</v>
      </c>
      <c r="AZ13" s="74">
        <f t="shared" si="31"/>
        <v>475</v>
      </c>
      <c r="BA13" s="74">
        <f t="shared" si="32"/>
        <v>450</v>
      </c>
      <c r="BB13" s="74">
        <f t="shared" si="33"/>
        <v>500</v>
      </c>
      <c r="BC13" s="74">
        <f t="shared" si="34"/>
        <v>500</v>
      </c>
      <c r="BD13" s="74">
        <f t="shared" si="35"/>
        <v>490</v>
      </c>
      <c r="BE13" s="74">
        <f t="shared" si="36"/>
        <v>1120</v>
      </c>
      <c r="BF13" s="74">
        <f t="shared" si="37"/>
        <v>500</v>
      </c>
      <c r="BG13" s="74">
        <f t="shared" si="38"/>
        <v>1180</v>
      </c>
      <c r="BH13" s="74">
        <f t="shared" si="39"/>
        <v>484.3</v>
      </c>
      <c r="BI13" s="74">
        <f t="shared" si="40"/>
        <v>600</v>
      </c>
      <c r="BJ13" s="74">
        <f t="shared" si="41"/>
        <v>475</v>
      </c>
      <c r="BK13" s="74">
        <f t="shared" si="42"/>
        <v>500</v>
      </c>
      <c r="BL13" s="76">
        <f t="shared" si="43"/>
        <v>425</v>
      </c>
      <c r="BM13" s="76">
        <f t="shared" si="44"/>
        <v>400</v>
      </c>
      <c r="BN13" s="76">
        <f t="shared" si="45"/>
        <v>450</v>
      </c>
      <c r="BO13" s="76">
        <f t="shared" si="46"/>
        <v>400</v>
      </c>
      <c r="BP13" s="76">
        <f t="shared" si="47"/>
        <v>500</v>
      </c>
      <c r="BQ13" s="76">
        <f t="shared" si="48"/>
        <v>1200</v>
      </c>
      <c r="BR13" s="76">
        <f t="shared" si="49"/>
        <v>1030</v>
      </c>
      <c r="BS13" s="76">
        <f t="shared" si="50"/>
        <v>1100</v>
      </c>
      <c r="BT13" s="76">
        <f t="shared" si="51"/>
        <v>459.3</v>
      </c>
      <c r="BU13" s="76">
        <f t="shared" si="52"/>
        <v>0</v>
      </c>
      <c r="BV13" s="76">
        <f t="shared" si="53"/>
        <v>500</v>
      </c>
      <c r="BX13" s="74">
        <v>34</v>
      </c>
      <c r="BY13" s="74"/>
      <c r="BZ13" s="74">
        <v>77</v>
      </c>
      <c r="CA13" s="74"/>
      <c r="CB13" s="74">
        <v>54</v>
      </c>
      <c r="CC13" s="74" t="s">
        <v>143</v>
      </c>
      <c r="CD13" s="74">
        <v>52</v>
      </c>
      <c r="CE13" s="74" t="s">
        <v>144</v>
      </c>
      <c r="CF13" s="74">
        <v>55</v>
      </c>
      <c r="CG13" s="74" t="s">
        <v>145</v>
      </c>
      <c r="CH13" s="74"/>
      <c r="CI13" s="74"/>
      <c r="CJ13" s="74"/>
      <c r="CK13" s="74"/>
      <c r="CM13" s="64">
        <f t="shared" si="54"/>
        <v>150</v>
      </c>
      <c r="CN13" s="292"/>
      <c r="CP13" s="265">
        <f t="shared" si="55"/>
        <v>4</v>
      </c>
      <c r="CQ13" s="266">
        <f t="shared" si="56"/>
        <v>35</v>
      </c>
      <c r="CR13" s="267" t="str">
        <f t="shared" si="57"/>
        <v/>
      </c>
      <c r="CS13" s="267" t="str">
        <f t="shared" si="58"/>
        <v/>
      </c>
      <c r="CT13" s="267" t="str">
        <f t="shared" si="59"/>
        <v/>
      </c>
      <c r="CU13" s="267" t="str">
        <f t="shared" si="60"/>
        <v/>
      </c>
      <c r="CV13" s="267" t="str">
        <f t="shared" si="61"/>
        <v/>
      </c>
      <c r="CW13" s="267" t="str">
        <f t="shared" si="62"/>
        <v/>
      </c>
      <c r="CX13" s="267" t="str">
        <f t="shared" si="63"/>
        <v/>
      </c>
      <c r="CY13" s="267" t="str">
        <f t="shared" si="64"/>
        <v/>
      </c>
      <c r="CZ13" s="267" t="str">
        <f t="shared" si="65"/>
        <v/>
      </c>
      <c r="DA13" s="267" t="str">
        <f t="shared" si="66"/>
        <v/>
      </c>
      <c r="DB13" s="267" t="str">
        <f t="shared" si="67"/>
        <v/>
      </c>
      <c r="DC13" s="267" t="str">
        <f t="shared" si="68"/>
        <v/>
      </c>
      <c r="DD13" s="267">
        <f t="shared" si="69"/>
        <v>19.8525093761973</v>
      </c>
      <c r="DE13" s="267" t="str">
        <f t="shared" si="70"/>
        <v/>
      </c>
      <c r="DF13" s="267" t="str">
        <f t="shared" si="71"/>
        <v/>
      </c>
      <c r="DG13" s="267" t="str">
        <f t="shared" si="72"/>
        <v/>
      </c>
      <c r="DH13" s="267" t="str">
        <f t="shared" si="73"/>
        <v/>
      </c>
      <c r="DI13" s="267" t="str">
        <f t="shared" si="74"/>
        <v/>
      </c>
      <c r="DJ13" s="267" t="str">
        <f t="shared" si="75"/>
        <v/>
      </c>
      <c r="DK13" s="267" t="str">
        <f t="shared" si="76"/>
        <v/>
      </c>
    </row>
    <row r="14" spans="2:115" ht="27" customHeight="1">
      <c r="B14" s="14"/>
      <c r="C14" s="198"/>
      <c r="D14" s="196"/>
      <c r="E14" s="197"/>
      <c r="F14" s="198"/>
      <c r="G14" s="198"/>
      <c r="H14" s="199">
        <f t="shared" si="7"/>
        <v>0</v>
      </c>
      <c r="I14" s="200" t="str">
        <f t="shared" si="0"/>
        <v/>
      </c>
      <c r="J14" s="201"/>
      <c r="K14" s="332"/>
      <c r="L14" s="332"/>
      <c r="M14" s="332"/>
      <c r="N14" s="332"/>
      <c r="O14" s="332"/>
      <c r="P14" s="23"/>
      <c r="Q14" s="51" t="e">
        <f t="shared" si="1"/>
        <v>#N/A</v>
      </c>
      <c r="R14" s="40"/>
      <c r="S14" s="67" t="e">
        <f t="shared" si="8"/>
        <v>#N/A</v>
      </c>
      <c r="T14" s="67" t="e">
        <f t="shared" si="9"/>
        <v>#N/A</v>
      </c>
      <c r="U14" s="67" t="b">
        <f t="shared" si="2"/>
        <v>0</v>
      </c>
      <c r="V14" s="67" t="e">
        <f t="shared" si="10"/>
        <v>#N/A</v>
      </c>
      <c r="W14" s="67" t="b">
        <f t="shared" si="11"/>
        <v>0</v>
      </c>
      <c r="X14" s="67" t="b">
        <f t="shared" si="12"/>
        <v>0</v>
      </c>
      <c r="Y14" s="67" t="b">
        <f t="shared" si="13"/>
        <v>0</v>
      </c>
      <c r="Z14" s="67" t="b">
        <f t="shared" si="14"/>
        <v>0</v>
      </c>
      <c r="AA14" s="67" t="b">
        <f t="shared" si="15"/>
        <v>0</v>
      </c>
      <c r="AB14" s="67" t="b">
        <f t="shared" si="16"/>
        <v>0</v>
      </c>
      <c r="AC14" s="52"/>
      <c r="AD14" s="67" t="str">
        <f t="shared" si="17"/>
        <v/>
      </c>
      <c r="AE14" s="52"/>
      <c r="AF14" s="64">
        <f t="shared" si="3"/>
        <v>0</v>
      </c>
      <c r="AG14" s="64">
        <f t="shared" si="18"/>
        <v>0</v>
      </c>
      <c r="AH14" s="64">
        <f t="shared" si="19"/>
        <v>0</v>
      </c>
      <c r="AI14" s="64">
        <f t="shared" si="20"/>
        <v>0</v>
      </c>
      <c r="AJ14" s="64"/>
      <c r="AK14" s="64">
        <f t="shared" si="21"/>
        <v>0</v>
      </c>
      <c r="AL14" s="64">
        <f t="shared" si="22"/>
        <v>0</v>
      </c>
      <c r="AM14" s="64">
        <f t="shared" si="23"/>
        <v>0</v>
      </c>
      <c r="AN14" s="53"/>
      <c r="AO14" s="329">
        <f t="shared" si="4"/>
        <v>0</v>
      </c>
      <c r="AP14" s="329">
        <f t="shared" si="5"/>
        <v>0</v>
      </c>
      <c r="AQ14" s="329">
        <f t="shared" si="6"/>
        <v>0</v>
      </c>
      <c r="AR14" s="329">
        <f t="shared" si="24"/>
        <v>0</v>
      </c>
      <c r="AS14" s="329">
        <f t="shared" si="25"/>
        <v>0</v>
      </c>
      <c r="AU14" s="74">
        <f t="shared" si="26"/>
        <v>0</v>
      </c>
      <c r="AV14" s="74">
        <f t="shared" si="27"/>
        <v>0</v>
      </c>
      <c r="AW14" s="74">
        <f t="shared" si="28"/>
        <v>0</v>
      </c>
      <c r="AX14" s="74">
        <f t="shared" si="29"/>
        <v>0</v>
      </c>
      <c r="AY14" s="74">
        <f t="shared" si="30"/>
        <v>0</v>
      </c>
      <c r="AZ14" s="74">
        <f t="shared" si="31"/>
        <v>0</v>
      </c>
      <c r="BA14" s="74">
        <f t="shared" si="32"/>
        <v>0</v>
      </c>
      <c r="BB14" s="74">
        <f t="shared" si="33"/>
        <v>0</v>
      </c>
      <c r="BC14" s="74">
        <f t="shared" si="34"/>
        <v>0</v>
      </c>
      <c r="BD14" s="74">
        <f t="shared" si="35"/>
        <v>0</v>
      </c>
      <c r="BE14" s="74">
        <f t="shared" si="36"/>
        <v>0</v>
      </c>
      <c r="BF14" s="74">
        <f t="shared" si="37"/>
        <v>0</v>
      </c>
      <c r="BG14" s="74">
        <f t="shared" si="38"/>
        <v>0</v>
      </c>
      <c r="BH14" s="74">
        <f t="shared" si="39"/>
        <v>0</v>
      </c>
      <c r="BI14" s="74">
        <f t="shared" si="40"/>
        <v>0</v>
      </c>
      <c r="BJ14" s="74">
        <f t="shared" si="41"/>
        <v>0</v>
      </c>
      <c r="BK14" s="74">
        <f t="shared" si="42"/>
        <v>0</v>
      </c>
      <c r="BL14" s="76">
        <f t="shared" si="43"/>
        <v>0</v>
      </c>
      <c r="BM14" s="76">
        <f t="shared" si="44"/>
        <v>0</v>
      </c>
      <c r="BN14" s="76">
        <f t="shared" si="45"/>
        <v>0</v>
      </c>
      <c r="BO14" s="76">
        <f t="shared" si="46"/>
        <v>0</v>
      </c>
      <c r="BP14" s="76">
        <f t="shared" si="47"/>
        <v>0</v>
      </c>
      <c r="BQ14" s="76">
        <f t="shared" si="48"/>
        <v>0</v>
      </c>
      <c r="BR14" s="76">
        <f t="shared" si="49"/>
        <v>0</v>
      </c>
      <c r="BS14" s="76">
        <f t="shared" si="50"/>
        <v>0</v>
      </c>
      <c r="BT14" s="76">
        <f t="shared" si="51"/>
        <v>0</v>
      </c>
      <c r="BU14" s="76">
        <f t="shared" si="52"/>
        <v>0</v>
      </c>
      <c r="BV14" s="76">
        <f t="shared" si="53"/>
        <v>0</v>
      </c>
      <c r="BX14" s="74">
        <v>35</v>
      </c>
      <c r="BY14" s="74"/>
      <c r="BZ14" s="74">
        <v>79</v>
      </c>
      <c r="CA14" s="74"/>
      <c r="CB14" s="74">
        <v>78</v>
      </c>
      <c r="CC14" s="74"/>
      <c r="CD14" s="74">
        <v>85</v>
      </c>
      <c r="CE14" s="74" t="s">
        <v>144</v>
      </c>
      <c r="CF14" s="74"/>
      <c r="CG14" s="74"/>
      <c r="CH14" s="74"/>
      <c r="CI14" s="74"/>
      <c r="CJ14" s="74"/>
      <c r="CK14" s="74"/>
      <c r="CM14" s="64">
        <f t="shared" si="54"/>
        <v>150</v>
      </c>
      <c r="CN14" s="292"/>
      <c r="CP14" s="265">
        <f t="shared" si="55"/>
        <v>0</v>
      </c>
      <c r="CQ14" s="266">
        <f t="shared" si="56"/>
        <v>0</v>
      </c>
      <c r="CR14" s="267" t="str">
        <f t="shared" si="57"/>
        <v/>
      </c>
      <c r="CS14" s="267" t="str">
        <f t="shared" si="58"/>
        <v/>
      </c>
      <c r="CT14" s="267" t="str">
        <f t="shared" si="59"/>
        <v/>
      </c>
      <c r="CU14" s="267" t="str">
        <f t="shared" si="60"/>
        <v/>
      </c>
      <c r="CV14" s="267" t="str">
        <f t="shared" si="61"/>
        <v/>
      </c>
      <c r="CW14" s="267" t="str">
        <f t="shared" si="62"/>
        <v/>
      </c>
      <c r="CX14" s="267" t="str">
        <f t="shared" si="63"/>
        <v/>
      </c>
      <c r="CY14" s="267" t="str">
        <f t="shared" si="64"/>
        <v/>
      </c>
      <c r="CZ14" s="267" t="str">
        <f t="shared" si="65"/>
        <v/>
      </c>
      <c r="DA14" s="267" t="str">
        <f t="shared" si="66"/>
        <v/>
      </c>
      <c r="DB14" s="267" t="str">
        <f t="shared" si="67"/>
        <v/>
      </c>
      <c r="DC14" s="267" t="str">
        <f t="shared" si="68"/>
        <v/>
      </c>
      <c r="DD14" s="267" t="str">
        <f t="shared" si="69"/>
        <v/>
      </c>
      <c r="DE14" s="267" t="str">
        <f t="shared" si="70"/>
        <v/>
      </c>
      <c r="DF14" s="267" t="str">
        <f t="shared" si="71"/>
        <v/>
      </c>
      <c r="DG14" s="267" t="str">
        <f t="shared" si="72"/>
        <v/>
      </c>
      <c r="DH14" s="267" t="str">
        <f t="shared" si="73"/>
        <v/>
      </c>
      <c r="DI14" s="267" t="str">
        <f t="shared" si="74"/>
        <v/>
      </c>
      <c r="DJ14" s="267" t="str">
        <f t="shared" si="75"/>
        <v/>
      </c>
      <c r="DK14" s="267" t="str">
        <f t="shared" si="76"/>
        <v/>
      </c>
    </row>
    <row r="15" spans="2:115" ht="27" customHeight="1">
      <c r="B15" s="14" t="s">
        <v>377</v>
      </c>
      <c r="C15" s="198">
        <v>5</v>
      </c>
      <c r="D15" s="196" t="s">
        <v>373</v>
      </c>
      <c r="E15" s="197">
        <v>12</v>
      </c>
      <c r="F15" s="198">
        <v>2</v>
      </c>
      <c r="G15" s="198">
        <v>2</v>
      </c>
      <c r="H15" s="199">
        <f t="shared" si="7"/>
        <v>4</v>
      </c>
      <c r="I15" s="200">
        <f t="shared" si="0"/>
        <v>4850</v>
      </c>
      <c r="J15" s="201">
        <v>38</v>
      </c>
      <c r="K15" s="332">
        <v>150</v>
      </c>
      <c r="L15" s="332">
        <v>4600</v>
      </c>
      <c r="M15" s="332">
        <v>150</v>
      </c>
      <c r="N15" s="332"/>
      <c r="O15" s="332"/>
      <c r="P15" s="23"/>
      <c r="Q15" s="51" t="e">
        <f t="shared" si="1"/>
        <v>#N/A</v>
      </c>
      <c r="R15" s="40"/>
      <c r="S15" s="67" t="b">
        <f t="shared" si="8"/>
        <v>0</v>
      </c>
      <c r="T15" s="67" t="b">
        <f t="shared" si="9"/>
        <v>0</v>
      </c>
      <c r="U15" s="67" t="b">
        <f t="shared" si="2"/>
        <v>0</v>
      </c>
      <c r="V15" s="67" t="b">
        <f t="shared" si="10"/>
        <v>0</v>
      </c>
      <c r="W15" s="67" t="b">
        <f t="shared" si="11"/>
        <v>0</v>
      </c>
      <c r="X15" s="67" t="b">
        <f t="shared" si="12"/>
        <v>0</v>
      </c>
      <c r="Y15" s="67" t="b">
        <f t="shared" si="13"/>
        <v>0</v>
      </c>
      <c r="Z15" s="67" t="b">
        <f t="shared" si="14"/>
        <v>0</v>
      </c>
      <c r="AA15" s="67" t="b">
        <f t="shared" si="15"/>
        <v>0</v>
      </c>
      <c r="AB15" s="67" t="b">
        <f t="shared" si="16"/>
        <v>0</v>
      </c>
      <c r="AC15" s="52"/>
      <c r="AD15" s="67" t="str">
        <f t="shared" si="17"/>
        <v/>
      </c>
      <c r="AE15" s="52"/>
      <c r="AF15" s="64">
        <f t="shared" si="3"/>
        <v>12</v>
      </c>
      <c r="AG15" s="64">
        <f t="shared" si="18"/>
        <v>24</v>
      </c>
      <c r="AH15" s="64">
        <f t="shared" si="19"/>
        <v>100</v>
      </c>
      <c r="AI15" s="64">
        <f t="shared" si="20"/>
        <v>110</v>
      </c>
      <c r="AJ15" s="64"/>
      <c r="AK15" s="64">
        <f t="shared" si="21"/>
        <v>36</v>
      </c>
      <c r="AL15" s="64">
        <f t="shared" si="22"/>
        <v>100</v>
      </c>
      <c r="AM15" s="64">
        <f t="shared" si="23"/>
        <v>140</v>
      </c>
      <c r="AN15" s="53"/>
      <c r="AO15" s="329">
        <f t="shared" si="4"/>
        <v>36</v>
      </c>
      <c r="AP15" s="329">
        <f t="shared" si="5"/>
        <v>100</v>
      </c>
      <c r="AQ15" s="329">
        <f t="shared" si="6"/>
        <v>140</v>
      </c>
      <c r="AR15" s="329">
        <f t="shared" si="24"/>
        <v>130</v>
      </c>
      <c r="AS15" s="329">
        <f t="shared" si="25"/>
        <v>144</v>
      </c>
      <c r="AU15" s="74">
        <f t="shared" si="26"/>
        <v>150</v>
      </c>
      <c r="AV15" s="74">
        <f t="shared" si="27"/>
        <v>290</v>
      </c>
      <c r="AW15" s="74">
        <f t="shared" si="28"/>
        <v>430</v>
      </c>
      <c r="AX15" s="74">
        <f t="shared" si="29"/>
        <v>250</v>
      </c>
      <c r="AY15" s="74">
        <f t="shared" si="30"/>
        <v>350</v>
      </c>
      <c r="AZ15" s="74">
        <f t="shared" si="31"/>
        <v>4720</v>
      </c>
      <c r="BA15" s="74">
        <f t="shared" si="32"/>
        <v>4840</v>
      </c>
      <c r="BB15" s="74">
        <f t="shared" si="33"/>
        <v>4900</v>
      </c>
      <c r="BC15" s="74">
        <f t="shared" si="34"/>
        <v>9500</v>
      </c>
      <c r="BD15" s="74">
        <f t="shared" si="35"/>
        <v>4738</v>
      </c>
      <c r="BE15" s="74">
        <f t="shared" si="36"/>
        <v>9644</v>
      </c>
      <c r="BF15" s="74">
        <f t="shared" si="37"/>
        <v>300</v>
      </c>
      <c r="BG15" s="74">
        <f t="shared" si="38"/>
        <v>14316</v>
      </c>
      <c r="BH15" s="74">
        <f t="shared" si="39"/>
        <v>2903.16</v>
      </c>
      <c r="BI15" s="74">
        <f t="shared" si="40"/>
        <v>5000</v>
      </c>
      <c r="BJ15" s="74">
        <f t="shared" si="41"/>
        <v>4870</v>
      </c>
      <c r="BK15" s="74">
        <f t="shared" si="42"/>
        <v>4900</v>
      </c>
      <c r="BL15" s="76">
        <f t="shared" si="43"/>
        <v>4810</v>
      </c>
      <c r="BM15" s="76">
        <f t="shared" si="44"/>
        <v>4780</v>
      </c>
      <c r="BN15" s="76">
        <f t="shared" si="45"/>
        <v>4840</v>
      </c>
      <c r="BO15" s="76">
        <f t="shared" si="46"/>
        <v>4780</v>
      </c>
      <c r="BP15" s="76">
        <f t="shared" si="47"/>
        <v>150</v>
      </c>
      <c r="BQ15" s="76">
        <f t="shared" si="48"/>
        <v>5140</v>
      </c>
      <c r="BR15" s="76">
        <f t="shared" si="49"/>
        <v>5086</v>
      </c>
      <c r="BS15" s="76">
        <f t="shared" si="50"/>
        <v>14220</v>
      </c>
      <c r="BT15" s="76">
        <f t="shared" si="51"/>
        <v>4786.66</v>
      </c>
      <c r="BU15" s="76">
        <f t="shared" si="52"/>
        <v>14.137166941154069</v>
      </c>
      <c r="BV15" s="76">
        <f t="shared" si="53"/>
        <v>150</v>
      </c>
      <c r="BX15" s="74">
        <v>99</v>
      </c>
      <c r="BY15" s="74" t="s">
        <v>128</v>
      </c>
      <c r="BZ15" s="74"/>
      <c r="CA15" s="74"/>
      <c r="CB15" s="74">
        <v>87</v>
      </c>
      <c r="CC15" s="74"/>
      <c r="CD15" s="74"/>
      <c r="CE15" s="74"/>
      <c r="CF15" s="74"/>
      <c r="CG15" s="74"/>
      <c r="CH15" s="74"/>
      <c r="CI15" s="74"/>
      <c r="CJ15" s="74"/>
      <c r="CK15" s="74"/>
      <c r="CM15" s="64">
        <f t="shared" si="54"/>
        <v>150</v>
      </c>
      <c r="CN15" s="292"/>
      <c r="CP15" s="265">
        <f t="shared" si="55"/>
        <v>5</v>
      </c>
      <c r="CQ15" s="266">
        <f t="shared" si="56"/>
        <v>38</v>
      </c>
      <c r="CR15" s="267" t="str">
        <f t="shared" si="57"/>
        <v/>
      </c>
      <c r="CS15" s="267" t="str">
        <f t="shared" si="58"/>
        <v/>
      </c>
      <c r="CT15" s="267" t="str">
        <f t="shared" si="59"/>
        <v/>
      </c>
      <c r="CU15" s="267" t="str">
        <f t="shared" si="60"/>
        <v/>
      </c>
      <c r="CV15" s="267" t="str">
        <f t="shared" si="61"/>
        <v/>
      </c>
      <c r="CW15" s="267" t="str">
        <f t="shared" si="62"/>
        <v/>
      </c>
      <c r="CX15" s="267" t="str">
        <f t="shared" si="63"/>
        <v/>
      </c>
      <c r="CY15" s="267" t="str">
        <f t="shared" si="64"/>
        <v/>
      </c>
      <c r="CZ15" s="267" t="str">
        <f t="shared" si="65"/>
        <v/>
      </c>
      <c r="DA15" s="267" t="str">
        <f t="shared" si="66"/>
        <v/>
      </c>
      <c r="DB15" s="267" t="str">
        <f t="shared" si="67"/>
        <v/>
      </c>
      <c r="DC15" s="267" t="str">
        <f t="shared" si="68"/>
        <v/>
      </c>
      <c r="DD15" s="267" t="str">
        <f t="shared" si="69"/>
        <v/>
      </c>
      <c r="DE15" s="267">
        <f t="shared" si="70"/>
        <v>17.223593227746825</v>
      </c>
      <c r="DF15" s="267" t="str">
        <f t="shared" si="71"/>
        <v/>
      </c>
      <c r="DG15" s="267" t="str">
        <f t="shared" si="72"/>
        <v/>
      </c>
      <c r="DH15" s="267" t="str">
        <f t="shared" si="73"/>
        <v/>
      </c>
      <c r="DI15" s="267" t="str">
        <f t="shared" si="74"/>
        <v/>
      </c>
      <c r="DJ15" s="267" t="str">
        <f t="shared" si="75"/>
        <v/>
      </c>
      <c r="DK15" s="267" t="str">
        <f t="shared" si="76"/>
        <v/>
      </c>
    </row>
    <row r="16" spans="2:115" ht="27" customHeight="1">
      <c r="B16" s="14"/>
      <c r="C16" s="198">
        <v>6</v>
      </c>
      <c r="D16" s="196" t="s">
        <v>373</v>
      </c>
      <c r="E16" s="197">
        <v>8</v>
      </c>
      <c r="F16" s="198">
        <v>2</v>
      </c>
      <c r="G16" s="198">
        <v>32</v>
      </c>
      <c r="H16" s="199">
        <f t="shared" si="7"/>
        <v>64</v>
      </c>
      <c r="I16" s="200">
        <f t="shared" si="0"/>
        <v>700</v>
      </c>
      <c r="J16" s="201">
        <v>61</v>
      </c>
      <c r="K16" s="332">
        <v>200</v>
      </c>
      <c r="L16" s="332">
        <v>100</v>
      </c>
      <c r="M16" s="332"/>
      <c r="N16" s="332"/>
      <c r="O16" s="332"/>
      <c r="P16" s="23"/>
      <c r="Q16" s="51" t="str">
        <f t="shared" si="1"/>
        <v>Less than 150mm !</v>
      </c>
      <c r="R16" s="40"/>
      <c r="S16" s="67" t="b">
        <f t="shared" si="8"/>
        <v>0</v>
      </c>
      <c r="T16" s="67" t="b">
        <f t="shared" si="9"/>
        <v>0</v>
      </c>
      <c r="U16" s="67" t="b">
        <f t="shared" si="2"/>
        <v>1</v>
      </c>
      <c r="V16" s="67" t="b">
        <f t="shared" si="10"/>
        <v>0</v>
      </c>
      <c r="W16" s="67" t="b">
        <f t="shared" si="11"/>
        <v>0</v>
      </c>
      <c r="X16" s="67" t="b">
        <f t="shared" si="12"/>
        <v>0</v>
      </c>
      <c r="Y16" s="67" t="b">
        <f t="shared" si="13"/>
        <v>0</v>
      </c>
      <c r="Z16" s="67" t="b">
        <f t="shared" si="14"/>
        <v>0</v>
      </c>
      <c r="AA16" s="67" t="b">
        <f t="shared" si="15"/>
        <v>0</v>
      </c>
      <c r="AB16" s="67" t="b">
        <f t="shared" si="16"/>
        <v>0</v>
      </c>
      <c r="AC16" s="52"/>
      <c r="AD16" s="67" t="str">
        <f t="shared" si="17"/>
        <v/>
      </c>
      <c r="AE16" s="52"/>
      <c r="AF16" s="64">
        <f t="shared" si="3"/>
        <v>8</v>
      </c>
      <c r="AG16" s="64">
        <f t="shared" si="18"/>
        <v>16</v>
      </c>
      <c r="AH16" s="64">
        <f t="shared" si="19"/>
        <v>100</v>
      </c>
      <c r="AI16" s="64">
        <f t="shared" si="20"/>
        <v>100</v>
      </c>
      <c r="AJ16" s="64"/>
      <c r="AK16" s="64">
        <f t="shared" si="21"/>
        <v>24</v>
      </c>
      <c r="AL16" s="64">
        <f t="shared" si="22"/>
        <v>100</v>
      </c>
      <c r="AM16" s="64">
        <f t="shared" si="23"/>
        <v>100</v>
      </c>
      <c r="AN16" s="53"/>
      <c r="AO16" s="329">
        <f t="shared" si="4"/>
        <v>24</v>
      </c>
      <c r="AP16" s="329">
        <f t="shared" si="5"/>
        <v>100</v>
      </c>
      <c r="AQ16" s="329">
        <f t="shared" si="6"/>
        <v>100</v>
      </c>
      <c r="AR16" s="329">
        <f t="shared" si="24"/>
        <v>120</v>
      </c>
      <c r="AS16" s="329">
        <f t="shared" si="25"/>
        <v>96</v>
      </c>
      <c r="AU16" s="74">
        <f t="shared" si="26"/>
        <v>200</v>
      </c>
      <c r="AV16" s="74">
        <f t="shared" si="27"/>
        <v>300</v>
      </c>
      <c r="AW16" s="74">
        <f t="shared" si="28"/>
        <v>400</v>
      </c>
      <c r="AX16" s="74">
        <f t="shared" si="29"/>
        <v>300</v>
      </c>
      <c r="AY16" s="74">
        <f t="shared" si="30"/>
        <v>400</v>
      </c>
      <c r="AZ16" s="74">
        <f t="shared" si="31"/>
        <v>280</v>
      </c>
      <c r="BA16" s="74">
        <f t="shared" si="32"/>
        <v>260</v>
      </c>
      <c r="BB16" s="74">
        <f t="shared" si="33"/>
        <v>300</v>
      </c>
      <c r="BC16" s="74">
        <f t="shared" si="34"/>
        <v>400</v>
      </c>
      <c r="BD16" s="74">
        <f t="shared" si="35"/>
        <v>292</v>
      </c>
      <c r="BE16" s="74">
        <f t="shared" si="36"/>
        <v>696</v>
      </c>
      <c r="BF16" s="74">
        <f t="shared" si="37"/>
        <v>200</v>
      </c>
      <c r="BG16" s="74">
        <f t="shared" si="38"/>
        <v>844</v>
      </c>
      <c r="BH16" s="74">
        <f t="shared" si="39"/>
        <v>244.44</v>
      </c>
      <c r="BI16" s="74">
        <f t="shared" si="40"/>
        <v>400</v>
      </c>
      <c r="BJ16" s="74">
        <f t="shared" si="41"/>
        <v>280</v>
      </c>
      <c r="BK16" s="74">
        <f t="shared" si="42"/>
        <v>300</v>
      </c>
      <c r="BL16" s="76">
        <f t="shared" si="43"/>
        <v>240</v>
      </c>
      <c r="BM16" s="76">
        <f t="shared" si="44"/>
        <v>220</v>
      </c>
      <c r="BN16" s="76">
        <f t="shared" si="45"/>
        <v>260</v>
      </c>
      <c r="BO16" s="76">
        <f t="shared" si="46"/>
        <v>220</v>
      </c>
      <c r="BP16" s="76">
        <f t="shared" si="47"/>
        <v>200</v>
      </c>
      <c r="BQ16" s="76">
        <f t="shared" si="48"/>
        <v>660</v>
      </c>
      <c r="BR16" s="76">
        <f t="shared" si="49"/>
        <v>524</v>
      </c>
      <c r="BS16" s="76">
        <f t="shared" si="50"/>
        <v>780</v>
      </c>
      <c r="BT16" s="76">
        <f t="shared" si="51"/>
        <v>267.44</v>
      </c>
      <c r="BU16" s="76">
        <f t="shared" si="52"/>
        <v>0</v>
      </c>
      <c r="BV16" s="76">
        <f t="shared" si="53"/>
        <v>200</v>
      </c>
      <c r="CM16" s="64">
        <f t="shared" si="54"/>
        <v>150</v>
      </c>
      <c r="CN16" s="292"/>
      <c r="CP16" s="265">
        <f t="shared" si="55"/>
        <v>6</v>
      </c>
      <c r="CQ16" s="266">
        <f t="shared" si="56"/>
        <v>61</v>
      </c>
      <c r="CR16" s="267" t="str">
        <f t="shared" si="57"/>
        <v/>
      </c>
      <c r="CS16" s="267" t="str">
        <f t="shared" si="58"/>
        <v/>
      </c>
      <c r="CT16" s="267" t="str">
        <f t="shared" si="59"/>
        <v/>
      </c>
      <c r="CU16" s="267" t="str">
        <f t="shared" si="60"/>
        <v/>
      </c>
      <c r="CV16" s="267" t="str">
        <f t="shared" si="61"/>
        <v/>
      </c>
      <c r="CW16" s="267" t="str">
        <f t="shared" si="62"/>
        <v/>
      </c>
      <c r="CX16" s="267" t="str">
        <f t="shared" si="63"/>
        <v/>
      </c>
      <c r="CY16" s="267" t="str">
        <f t="shared" si="64"/>
        <v/>
      </c>
      <c r="CZ16" s="267" t="str">
        <f t="shared" si="65"/>
        <v/>
      </c>
      <c r="DA16" s="267" t="str">
        <f t="shared" si="66"/>
        <v/>
      </c>
      <c r="DB16" s="267" t="str">
        <f t="shared" si="67"/>
        <v/>
      </c>
      <c r="DC16" s="267">
        <f t="shared" si="68"/>
        <v>17.677364870631333</v>
      </c>
      <c r="DD16" s="267" t="str">
        <f t="shared" si="69"/>
        <v/>
      </c>
      <c r="DE16" s="267" t="str">
        <f t="shared" si="70"/>
        <v/>
      </c>
      <c r="DF16" s="267" t="str">
        <f t="shared" si="71"/>
        <v/>
      </c>
      <c r="DG16" s="267" t="str">
        <f t="shared" si="72"/>
        <v/>
      </c>
      <c r="DH16" s="267" t="str">
        <f t="shared" si="73"/>
        <v/>
      </c>
      <c r="DI16" s="267" t="str">
        <f t="shared" si="74"/>
        <v/>
      </c>
      <c r="DJ16" s="267" t="str">
        <f t="shared" si="75"/>
        <v/>
      </c>
      <c r="DK16" s="267" t="str">
        <f t="shared" si="76"/>
        <v/>
      </c>
    </row>
    <row r="17" spans="2:115" ht="27" customHeight="1">
      <c r="B17" s="14" t="s">
        <v>378</v>
      </c>
      <c r="C17" s="198">
        <v>7</v>
      </c>
      <c r="D17" s="196" t="s">
        <v>373</v>
      </c>
      <c r="E17" s="197">
        <v>12</v>
      </c>
      <c r="F17" s="198">
        <v>2</v>
      </c>
      <c r="G17" s="198">
        <v>2</v>
      </c>
      <c r="H17" s="199">
        <f t="shared" si="7"/>
        <v>4</v>
      </c>
      <c r="I17" s="200">
        <f t="shared" si="0"/>
        <v>4600</v>
      </c>
      <c r="J17" s="201">
        <v>38</v>
      </c>
      <c r="K17" s="332">
        <v>150</v>
      </c>
      <c r="L17" s="332">
        <v>4350</v>
      </c>
      <c r="M17" s="332">
        <v>150</v>
      </c>
      <c r="N17" s="332"/>
      <c r="O17" s="332"/>
      <c r="P17" s="23"/>
      <c r="Q17" s="51" t="e">
        <f t="shared" si="1"/>
        <v>#N/A</v>
      </c>
      <c r="R17" s="40"/>
      <c r="S17" s="67" t="b">
        <f t="shared" si="8"/>
        <v>0</v>
      </c>
      <c r="T17" s="67" t="b">
        <f t="shared" si="9"/>
        <v>0</v>
      </c>
      <c r="U17" s="67" t="b">
        <f t="shared" si="2"/>
        <v>0</v>
      </c>
      <c r="V17" s="67" t="b">
        <f t="shared" si="10"/>
        <v>0</v>
      </c>
      <c r="W17" s="67" t="b">
        <f t="shared" si="11"/>
        <v>0</v>
      </c>
      <c r="X17" s="67" t="b">
        <f t="shared" si="12"/>
        <v>0</v>
      </c>
      <c r="Y17" s="67" t="b">
        <f t="shared" si="13"/>
        <v>0</v>
      </c>
      <c r="Z17" s="67" t="b">
        <f t="shared" si="14"/>
        <v>0</v>
      </c>
      <c r="AA17" s="67" t="b">
        <f t="shared" si="15"/>
        <v>0</v>
      </c>
      <c r="AB17" s="67" t="b">
        <f t="shared" si="16"/>
        <v>0</v>
      </c>
      <c r="AC17" s="52"/>
      <c r="AD17" s="67" t="str">
        <f t="shared" si="17"/>
        <v/>
      </c>
      <c r="AE17" s="52"/>
      <c r="AF17" s="64">
        <f t="shared" si="3"/>
        <v>12</v>
      </c>
      <c r="AG17" s="64">
        <f t="shared" si="18"/>
        <v>24</v>
      </c>
      <c r="AH17" s="64">
        <f t="shared" si="19"/>
        <v>100</v>
      </c>
      <c r="AI17" s="64">
        <f t="shared" si="20"/>
        <v>110</v>
      </c>
      <c r="AJ17" s="64"/>
      <c r="AK17" s="64">
        <f t="shared" si="21"/>
        <v>36</v>
      </c>
      <c r="AL17" s="64">
        <f t="shared" si="22"/>
        <v>100</v>
      </c>
      <c r="AM17" s="64">
        <f t="shared" si="23"/>
        <v>140</v>
      </c>
      <c r="AN17" s="53"/>
      <c r="AO17" s="329">
        <f t="shared" si="4"/>
        <v>36</v>
      </c>
      <c r="AP17" s="329">
        <f t="shared" si="5"/>
        <v>100</v>
      </c>
      <c r="AQ17" s="329">
        <f t="shared" si="6"/>
        <v>140</v>
      </c>
      <c r="AR17" s="329">
        <f t="shared" si="24"/>
        <v>130</v>
      </c>
      <c r="AS17" s="329">
        <f t="shared" si="25"/>
        <v>144</v>
      </c>
      <c r="AU17" s="74">
        <f t="shared" si="26"/>
        <v>150</v>
      </c>
      <c r="AV17" s="74">
        <f t="shared" si="27"/>
        <v>290</v>
      </c>
      <c r="AW17" s="74">
        <f t="shared" si="28"/>
        <v>430</v>
      </c>
      <c r="AX17" s="74">
        <f t="shared" si="29"/>
        <v>250</v>
      </c>
      <c r="AY17" s="74">
        <f t="shared" si="30"/>
        <v>350</v>
      </c>
      <c r="AZ17" s="74">
        <f t="shared" si="31"/>
        <v>4470</v>
      </c>
      <c r="BA17" s="74">
        <f t="shared" si="32"/>
        <v>4590</v>
      </c>
      <c r="BB17" s="74">
        <f t="shared" si="33"/>
        <v>4650</v>
      </c>
      <c r="BC17" s="74">
        <f t="shared" si="34"/>
        <v>9000</v>
      </c>
      <c r="BD17" s="74">
        <f t="shared" si="35"/>
        <v>4488</v>
      </c>
      <c r="BE17" s="74">
        <f t="shared" si="36"/>
        <v>9144</v>
      </c>
      <c r="BF17" s="74">
        <f t="shared" si="37"/>
        <v>300</v>
      </c>
      <c r="BG17" s="74">
        <f t="shared" si="38"/>
        <v>13566</v>
      </c>
      <c r="BH17" s="74">
        <f t="shared" si="39"/>
        <v>2760.66</v>
      </c>
      <c r="BI17" s="74">
        <f t="shared" si="40"/>
        <v>4750</v>
      </c>
      <c r="BJ17" s="74">
        <f t="shared" si="41"/>
        <v>4620</v>
      </c>
      <c r="BK17" s="74">
        <f t="shared" si="42"/>
        <v>4650</v>
      </c>
      <c r="BL17" s="76">
        <f t="shared" si="43"/>
        <v>4560</v>
      </c>
      <c r="BM17" s="76">
        <f t="shared" si="44"/>
        <v>4530</v>
      </c>
      <c r="BN17" s="76">
        <f t="shared" si="45"/>
        <v>4590</v>
      </c>
      <c r="BO17" s="76">
        <f t="shared" si="46"/>
        <v>4530</v>
      </c>
      <c r="BP17" s="76">
        <f t="shared" si="47"/>
        <v>150</v>
      </c>
      <c r="BQ17" s="76">
        <f t="shared" si="48"/>
        <v>4890</v>
      </c>
      <c r="BR17" s="76">
        <f t="shared" si="49"/>
        <v>4836</v>
      </c>
      <c r="BS17" s="76">
        <f t="shared" si="50"/>
        <v>13470</v>
      </c>
      <c r="BT17" s="76">
        <f t="shared" si="51"/>
        <v>4536.66</v>
      </c>
      <c r="BU17" s="76">
        <f t="shared" si="52"/>
        <v>14.949647799841085</v>
      </c>
      <c r="BV17" s="76">
        <f t="shared" si="53"/>
        <v>150</v>
      </c>
      <c r="CM17" s="64">
        <f t="shared" si="54"/>
        <v>150</v>
      </c>
      <c r="CN17" s="292"/>
      <c r="CP17" s="265">
        <f t="shared" si="55"/>
        <v>7</v>
      </c>
      <c r="CQ17" s="266">
        <f t="shared" si="56"/>
        <v>38</v>
      </c>
      <c r="CR17" s="267" t="str">
        <f t="shared" si="57"/>
        <v/>
      </c>
      <c r="CS17" s="267" t="str">
        <f t="shared" si="58"/>
        <v/>
      </c>
      <c r="CT17" s="267" t="str">
        <f t="shared" si="59"/>
        <v/>
      </c>
      <c r="CU17" s="267" t="str">
        <f t="shared" si="60"/>
        <v/>
      </c>
      <c r="CV17" s="267" t="str">
        <f t="shared" si="61"/>
        <v/>
      </c>
      <c r="CW17" s="267" t="str">
        <f t="shared" si="62"/>
        <v/>
      </c>
      <c r="CX17" s="267" t="str">
        <f t="shared" si="63"/>
        <v/>
      </c>
      <c r="CY17" s="267" t="str">
        <f t="shared" si="64"/>
        <v/>
      </c>
      <c r="CZ17" s="267" t="str">
        <f t="shared" si="65"/>
        <v/>
      </c>
      <c r="DA17" s="267" t="str">
        <f t="shared" si="66"/>
        <v/>
      </c>
      <c r="DB17" s="267" t="str">
        <f t="shared" si="67"/>
        <v/>
      </c>
      <c r="DC17" s="267" t="str">
        <f t="shared" si="68"/>
        <v/>
      </c>
      <c r="DD17" s="267" t="str">
        <f t="shared" si="69"/>
        <v/>
      </c>
      <c r="DE17" s="267">
        <f t="shared" si="70"/>
        <v>16.335779143842348</v>
      </c>
      <c r="DF17" s="267" t="str">
        <f t="shared" si="71"/>
        <v/>
      </c>
      <c r="DG17" s="267" t="str">
        <f t="shared" si="72"/>
        <v/>
      </c>
      <c r="DH17" s="267" t="str">
        <f t="shared" si="73"/>
        <v/>
      </c>
      <c r="DI17" s="267" t="str">
        <f t="shared" si="74"/>
        <v/>
      </c>
      <c r="DJ17" s="267" t="str">
        <f t="shared" si="75"/>
        <v/>
      </c>
      <c r="DK17" s="267" t="str">
        <f t="shared" si="76"/>
        <v/>
      </c>
    </row>
    <row r="18" spans="2:115" ht="27" customHeight="1">
      <c r="B18" s="14"/>
      <c r="C18" s="198">
        <v>8</v>
      </c>
      <c r="D18" s="196" t="s">
        <v>373</v>
      </c>
      <c r="E18" s="197">
        <v>8</v>
      </c>
      <c r="F18" s="198">
        <v>2</v>
      </c>
      <c r="G18" s="198">
        <v>30</v>
      </c>
      <c r="H18" s="199">
        <f t="shared" si="7"/>
        <v>60</v>
      </c>
      <c r="I18" s="200">
        <f t="shared" si="0"/>
        <v>700</v>
      </c>
      <c r="J18" s="201">
        <v>61</v>
      </c>
      <c r="K18" s="332">
        <v>200</v>
      </c>
      <c r="L18" s="332">
        <v>100</v>
      </c>
      <c r="M18" s="332"/>
      <c r="N18" s="332"/>
      <c r="O18" s="332"/>
      <c r="P18" s="23"/>
      <c r="Q18" s="51" t="str">
        <f t="shared" si="1"/>
        <v>Less than 150mm !</v>
      </c>
      <c r="R18" s="40"/>
      <c r="S18" s="67" t="b">
        <f t="shared" si="8"/>
        <v>0</v>
      </c>
      <c r="T18" s="67" t="b">
        <f t="shared" si="9"/>
        <v>0</v>
      </c>
      <c r="U18" s="67" t="b">
        <f t="shared" si="2"/>
        <v>1</v>
      </c>
      <c r="V18" s="67" t="b">
        <f t="shared" si="10"/>
        <v>0</v>
      </c>
      <c r="W18" s="67" t="b">
        <f t="shared" si="11"/>
        <v>0</v>
      </c>
      <c r="X18" s="67" t="b">
        <f t="shared" si="12"/>
        <v>0</v>
      </c>
      <c r="Y18" s="67" t="b">
        <f t="shared" si="13"/>
        <v>0</v>
      </c>
      <c r="Z18" s="67" t="b">
        <f t="shared" si="14"/>
        <v>0</v>
      </c>
      <c r="AA18" s="67" t="b">
        <f t="shared" si="15"/>
        <v>0</v>
      </c>
      <c r="AB18" s="67" t="b">
        <f t="shared" si="16"/>
        <v>0</v>
      </c>
      <c r="AC18" s="52"/>
      <c r="AD18" s="67" t="str">
        <f t="shared" si="17"/>
        <v/>
      </c>
      <c r="AE18" s="52"/>
      <c r="AF18" s="64">
        <f t="shared" si="3"/>
        <v>8</v>
      </c>
      <c r="AG18" s="64">
        <f t="shared" si="18"/>
        <v>16</v>
      </c>
      <c r="AH18" s="64">
        <f t="shared" si="19"/>
        <v>100</v>
      </c>
      <c r="AI18" s="64">
        <f t="shared" si="20"/>
        <v>100</v>
      </c>
      <c r="AJ18" s="64"/>
      <c r="AK18" s="64">
        <f t="shared" si="21"/>
        <v>24</v>
      </c>
      <c r="AL18" s="64">
        <f t="shared" si="22"/>
        <v>100</v>
      </c>
      <c r="AM18" s="64">
        <f t="shared" si="23"/>
        <v>100</v>
      </c>
      <c r="AN18" s="53"/>
      <c r="AO18" s="329">
        <f t="shared" si="4"/>
        <v>24</v>
      </c>
      <c r="AP18" s="329">
        <f t="shared" si="5"/>
        <v>100</v>
      </c>
      <c r="AQ18" s="329">
        <f t="shared" si="6"/>
        <v>100</v>
      </c>
      <c r="AR18" s="329">
        <f t="shared" si="24"/>
        <v>120</v>
      </c>
      <c r="AS18" s="329">
        <f t="shared" si="25"/>
        <v>96</v>
      </c>
      <c r="AU18" s="74">
        <f t="shared" si="26"/>
        <v>200</v>
      </c>
      <c r="AV18" s="74">
        <f t="shared" si="27"/>
        <v>300</v>
      </c>
      <c r="AW18" s="74">
        <f t="shared" si="28"/>
        <v>400</v>
      </c>
      <c r="AX18" s="74">
        <f t="shared" si="29"/>
        <v>300</v>
      </c>
      <c r="AY18" s="74">
        <f t="shared" si="30"/>
        <v>400</v>
      </c>
      <c r="AZ18" s="74">
        <f t="shared" si="31"/>
        <v>280</v>
      </c>
      <c r="BA18" s="74">
        <f t="shared" si="32"/>
        <v>260</v>
      </c>
      <c r="BB18" s="74">
        <f t="shared" si="33"/>
        <v>300</v>
      </c>
      <c r="BC18" s="74">
        <f t="shared" si="34"/>
        <v>400</v>
      </c>
      <c r="BD18" s="74">
        <f t="shared" si="35"/>
        <v>292</v>
      </c>
      <c r="BE18" s="74">
        <f t="shared" si="36"/>
        <v>696</v>
      </c>
      <c r="BF18" s="74">
        <f t="shared" si="37"/>
        <v>200</v>
      </c>
      <c r="BG18" s="74">
        <f t="shared" si="38"/>
        <v>844</v>
      </c>
      <c r="BH18" s="74">
        <f t="shared" si="39"/>
        <v>244.44</v>
      </c>
      <c r="BI18" s="74">
        <f t="shared" si="40"/>
        <v>400</v>
      </c>
      <c r="BJ18" s="74">
        <f t="shared" si="41"/>
        <v>280</v>
      </c>
      <c r="BK18" s="74">
        <f t="shared" si="42"/>
        <v>300</v>
      </c>
      <c r="BL18" s="76">
        <f t="shared" si="43"/>
        <v>240</v>
      </c>
      <c r="BM18" s="76">
        <f t="shared" si="44"/>
        <v>220</v>
      </c>
      <c r="BN18" s="76">
        <f t="shared" si="45"/>
        <v>260</v>
      </c>
      <c r="BO18" s="76">
        <f t="shared" si="46"/>
        <v>220</v>
      </c>
      <c r="BP18" s="76">
        <f t="shared" si="47"/>
        <v>200</v>
      </c>
      <c r="BQ18" s="76">
        <f t="shared" si="48"/>
        <v>660</v>
      </c>
      <c r="BR18" s="76">
        <f t="shared" si="49"/>
        <v>524</v>
      </c>
      <c r="BS18" s="76">
        <f t="shared" si="50"/>
        <v>780</v>
      </c>
      <c r="BT18" s="76">
        <f t="shared" si="51"/>
        <v>267.44</v>
      </c>
      <c r="BU18" s="76">
        <f t="shared" si="52"/>
        <v>0</v>
      </c>
      <c r="BV18" s="76">
        <f t="shared" si="53"/>
        <v>200</v>
      </c>
      <c r="CM18" s="64">
        <f t="shared" si="54"/>
        <v>150</v>
      </c>
      <c r="CN18" s="292"/>
      <c r="CP18" s="265">
        <f t="shared" si="55"/>
        <v>8</v>
      </c>
      <c r="CQ18" s="266">
        <f t="shared" si="56"/>
        <v>61</v>
      </c>
      <c r="CR18" s="267" t="str">
        <f t="shared" si="57"/>
        <v/>
      </c>
      <c r="CS18" s="267" t="str">
        <f t="shared" si="58"/>
        <v/>
      </c>
      <c r="CT18" s="267" t="str">
        <f t="shared" si="59"/>
        <v/>
      </c>
      <c r="CU18" s="267" t="str">
        <f t="shared" si="60"/>
        <v/>
      </c>
      <c r="CV18" s="267" t="str">
        <f t="shared" si="61"/>
        <v/>
      </c>
      <c r="CW18" s="267" t="str">
        <f t="shared" si="62"/>
        <v/>
      </c>
      <c r="CX18" s="267" t="str">
        <f t="shared" si="63"/>
        <v/>
      </c>
      <c r="CY18" s="267" t="str">
        <f t="shared" si="64"/>
        <v/>
      </c>
      <c r="CZ18" s="267" t="str">
        <f t="shared" si="65"/>
        <v/>
      </c>
      <c r="DA18" s="267" t="str">
        <f t="shared" si="66"/>
        <v/>
      </c>
      <c r="DB18" s="267" t="str">
        <f t="shared" si="67"/>
        <v/>
      </c>
      <c r="DC18" s="267">
        <f t="shared" si="68"/>
        <v>16.572529566216875</v>
      </c>
      <c r="DD18" s="267" t="str">
        <f t="shared" si="69"/>
        <v/>
      </c>
      <c r="DE18" s="267" t="str">
        <f t="shared" si="70"/>
        <v/>
      </c>
      <c r="DF18" s="267" t="str">
        <f t="shared" si="71"/>
        <v/>
      </c>
      <c r="DG18" s="267" t="str">
        <f t="shared" si="72"/>
        <v/>
      </c>
      <c r="DH18" s="267" t="str">
        <f t="shared" si="73"/>
        <v/>
      </c>
      <c r="DI18" s="267" t="str">
        <f t="shared" si="74"/>
        <v/>
      </c>
      <c r="DJ18" s="267" t="str">
        <f t="shared" si="75"/>
        <v/>
      </c>
      <c r="DK18" s="267" t="str">
        <f t="shared" si="76"/>
        <v/>
      </c>
    </row>
    <row r="19" spans="2:115" ht="27" customHeight="1">
      <c r="B19" s="14"/>
      <c r="C19" s="198"/>
      <c r="D19" s="196"/>
      <c r="E19" s="197"/>
      <c r="F19" s="198"/>
      <c r="G19" s="198"/>
      <c r="H19" s="199">
        <f t="shared" si="7"/>
        <v>0</v>
      </c>
      <c r="I19" s="200" t="str">
        <f t="shared" si="0"/>
        <v/>
      </c>
      <c r="J19" s="201"/>
      <c r="K19" s="332"/>
      <c r="L19" s="332"/>
      <c r="M19" s="332"/>
      <c r="N19" s="332"/>
      <c r="O19" s="332"/>
      <c r="P19" s="23"/>
      <c r="Q19" s="51" t="e">
        <f t="shared" si="1"/>
        <v>#N/A</v>
      </c>
      <c r="R19" s="40"/>
      <c r="S19" s="67" t="e">
        <f t="shared" si="8"/>
        <v>#N/A</v>
      </c>
      <c r="T19" s="67" t="e">
        <f t="shared" si="9"/>
        <v>#N/A</v>
      </c>
      <c r="U19" s="67" t="b">
        <f t="shared" si="2"/>
        <v>0</v>
      </c>
      <c r="V19" s="67" t="e">
        <f t="shared" si="10"/>
        <v>#N/A</v>
      </c>
      <c r="W19" s="67" t="b">
        <f t="shared" si="11"/>
        <v>0</v>
      </c>
      <c r="X19" s="67" t="b">
        <f t="shared" si="12"/>
        <v>0</v>
      </c>
      <c r="Y19" s="67" t="b">
        <f t="shared" si="13"/>
        <v>0</v>
      </c>
      <c r="Z19" s="67" t="b">
        <f t="shared" si="14"/>
        <v>0</v>
      </c>
      <c r="AA19" s="67" t="b">
        <f t="shared" si="15"/>
        <v>0</v>
      </c>
      <c r="AB19" s="67" t="b">
        <f t="shared" si="16"/>
        <v>0</v>
      </c>
      <c r="AC19" s="52"/>
      <c r="AD19" s="67" t="str">
        <f t="shared" si="17"/>
        <v/>
      </c>
      <c r="AE19" s="52"/>
      <c r="AF19" s="64">
        <f t="shared" si="3"/>
        <v>0</v>
      </c>
      <c r="AG19" s="64">
        <f t="shared" si="18"/>
        <v>0</v>
      </c>
      <c r="AH19" s="64">
        <f t="shared" si="19"/>
        <v>0</v>
      </c>
      <c r="AI19" s="64">
        <f t="shared" si="20"/>
        <v>0</v>
      </c>
      <c r="AJ19" s="64"/>
      <c r="AK19" s="64">
        <f t="shared" si="21"/>
        <v>0</v>
      </c>
      <c r="AL19" s="64">
        <f t="shared" si="22"/>
        <v>0</v>
      </c>
      <c r="AM19" s="64">
        <f t="shared" si="23"/>
        <v>0</v>
      </c>
      <c r="AN19" s="53"/>
      <c r="AO19" s="329">
        <f t="shared" si="4"/>
        <v>0</v>
      </c>
      <c r="AP19" s="329">
        <f t="shared" si="5"/>
        <v>0</v>
      </c>
      <c r="AQ19" s="329">
        <f t="shared" si="6"/>
        <v>0</v>
      </c>
      <c r="AR19" s="329">
        <f t="shared" si="24"/>
        <v>0</v>
      </c>
      <c r="AS19" s="329">
        <f t="shared" si="25"/>
        <v>0</v>
      </c>
      <c r="AU19" s="74">
        <f t="shared" si="26"/>
        <v>0</v>
      </c>
      <c r="AV19" s="74">
        <f t="shared" si="27"/>
        <v>0</v>
      </c>
      <c r="AW19" s="74">
        <f t="shared" si="28"/>
        <v>0</v>
      </c>
      <c r="AX19" s="74">
        <f t="shared" si="29"/>
        <v>0</v>
      </c>
      <c r="AY19" s="74">
        <f t="shared" si="30"/>
        <v>0</v>
      </c>
      <c r="AZ19" s="74">
        <f t="shared" si="31"/>
        <v>0</v>
      </c>
      <c r="BA19" s="74">
        <f t="shared" si="32"/>
        <v>0</v>
      </c>
      <c r="BB19" s="74">
        <f t="shared" si="33"/>
        <v>0</v>
      </c>
      <c r="BC19" s="74">
        <f t="shared" si="34"/>
        <v>0</v>
      </c>
      <c r="BD19" s="74">
        <f t="shared" si="35"/>
        <v>0</v>
      </c>
      <c r="BE19" s="74">
        <f t="shared" si="36"/>
        <v>0</v>
      </c>
      <c r="BF19" s="74">
        <f t="shared" si="37"/>
        <v>0</v>
      </c>
      <c r="BG19" s="74">
        <f t="shared" si="38"/>
        <v>0</v>
      </c>
      <c r="BH19" s="74">
        <f t="shared" si="39"/>
        <v>0</v>
      </c>
      <c r="BI19" s="74">
        <f t="shared" si="40"/>
        <v>0</v>
      </c>
      <c r="BJ19" s="74">
        <f t="shared" si="41"/>
        <v>0</v>
      </c>
      <c r="BK19" s="74">
        <f t="shared" si="42"/>
        <v>0</v>
      </c>
      <c r="BL19" s="76">
        <f t="shared" si="43"/>
        <v>0</v>
      </c>
      <c r="BM19" s="76">
        <f t="shared" si="44"/>
        <v>0</v>
      </c>
      <c r="BN19" s="76">
        <f t="shared" si="45"/>
        <v>0</v>
      </c>
      <c r="BO19" s="76">
        <f t="shared" si="46"/>
        <v>0</v>
      </c>
      <c r="BP19" s="76">
        <f t="shared" si="47"/>
        <v>0</v>
      </c>
      <c r="BQ19" s="76">
        <f t="shared" si="48"/>
        <v>0</v>
      </c>
      <c r="BR19" s="76">
        <f t="shared" si="49"/>
        <v>0</v>
      </c>
      <c r="BS19" s="76">
        <f t="shared" si="50"/>
        <v>0</v>
      </c>
      <c r="BT19" s="76">
        <f t="shared" si="51"/>
        <v>0</v>
      </c>
      <c r="BU19" s="76">
        <f t="shared" si="52"/>
        <v>0</v>
      </c>
      <c r="BV19" s="76">
        <f t="shared" si="53"/>
        <v>0</v>
      </c>
      <c r="CM19" s="64">
        <f t="shared" si="54"/>
        <v>150</v>
      </c>
      <c r="CN19" s="292"/>
      <c r="CP19" s="265">
        <f t="shared" si="55"/>
        <v>0</v>
      </c>
      <c r="CQ19" s="266">
        <f t="shared" si="56"/>
        <v>0</v>
      </c>
      <c r="CR19" s="267" t="str">
        <f t="shared" si="57"/>
        <v/>
      </c>
      <c r="CS19" s="267" t="str">
        <f t="shared" si="58"/>
        <v/>
      </c>
      <c r="CT19" s="267" t="str">
        <f t="shared" si="59"/>
        <v/>
      </c>
      <c r="CU19" s="267" t="str">
        <f t="shared" si="60"/>
        <v/>
      </c>
      <c r="CV19" s="267" t="str">
        <f t="shared" si="61"/>
        <v/>
      </c>
      <c r="CW19" s="267" t="str">
        <f t="shared" si="62"/>
        <v/>
      </c>
      <c r="CX19" s="267" t="str">
        <f t="shared" si="63"/>
        <v/>
      </c>
      <c r="CY19" s="267" t="str">
        <f t="shared" si="64"/>
        <v/>
      </c>
      <c r="CZ19" s="267" t="str">
        <f t="shared" si="65"/>
        <v/>
      </c>
      <c r="DA19" s="267" t="str">
        <f t="shared" si="66"/>
        <v/>
      </c>
      <c r="DB19" s="267" t="str">
        <f t="shared" si="67"/>
        <v/>
      </c>
      <c r="DC19" s="267" t="str">
        <f t="shared" si="68"/>
        <v/>
      </c>
      <c r="DD19" s="267" t="str">
        <f t="shared" si="69"/>
        <v/>
      </c>
      <c r="DE19" s="267" t="str">
        <f t="shared" si="70"/>
        <v/>
      </c>
      <c r="DF19" s="267" t="str">
        <f t="shared" si="71"/>
        <v/>
      </c>
      <c r="DG19" s="267" t="str">
        <f t="shared" si="72"/>
        <v/>
      </c>
      <c r="DH19" s="267" t="str">
        <f t="shared" si="73"/>
        <v/>
      </c>
      <c r="DI19" s="267" t="str">
        <f t="shared" si="74"/>
        <v/>
      </c>
      <c r="DJ19" s="267" t="str">
        <f t="shared" si="75"/>
        <v/>
      </c>
      <c r="DK19" s="267" t="str">
        <f t="shared" si="76"/>
        <v/>
      </c>
    </row>
    <row r="20" spans="2:115" s="54" customFormat="1" ht="27" customHeight="1">
      <c r="B20" s="14"/>
      <c r="C20" s="198"/>
      <c r="D20" s="196"/>
      <c r="E20" s="197"/>
      <c r="F20" s="198"/>
      <c r="G20" s="198"/>
      <c r="H20" s="199">
        <f t="shared" si="7"/>
        <v>0</v>
      </c>
      <c r="I20" s="200" t="str">
        <f t="shared" si="0"/>
        <v/>
      </c>
      <c r="J20" s="201"/>
      <c r="K20" s="332"/>
      <c r="L20" s="332"/>
      <c r="M20" s="332"/>
      <c r="N20" s="332"/>
      <c r="O20" s="332"/>
      <c r="P20" s="23"/>
      <c r="Q20" s="51" t="e">
        <f t="shared" si="1"/>
        <v>#N/A</v>
      </c>
      <c r="R20" s="40"/>
      <c r="S20" s="67" t="e">
        <f t="shared" si="8"/>
        <v>#N/A</v>
      </c>
      <c r="T20" s="67" t="e">
        <f t="shared" si="9"/>
        <v>#N/A</v>
      </c>
      <c r="U20" s="67" t="b">
        <f t="shared" si="2"/>
        <v>0</v>
      </c>
      <c r="V20" s="67" t="e">
        <f t="shared" si="10"/>
        <v>#N/A</v>
      </c>
      <c r="W20" s="67" t="b">
        <f t="shared" si="11"/>
        <v>0</v>
      </c>
      <c r="X20" s="67" t="b">
        <f t="shared" si="12"/>
        <v>0</v>
      </c>
      <c r="Y20" s="67" t="b">
        <f t="shared" si="13"/>
        <v>0</v>
      </c>
      <c r="Z20" s="67" t="b">
        <f t="shared" si="14"/>
        <v>0</v>
      </c>
      <c r="AA20" s="67" t="b">
        <f t="shared" si="15"/>
        <v>0</v>
      </c>
      <c r="AB20" s="67" t="b">
        <f t="shared" si="16"/>
        <v>0</v>
      </c>
      <c r="AC20" s="52"/>
      <c r="AD20" s="67" t="str">
        <f t="shared" si="17"/>
        <v/>
      </c>
      <c r="AE20" s="52"/>
      <c r="AF20" s="64">
        <f t="shared" si="3"/>
        <v>0</v>
      </c>
      <c r="AG20" s="64">
        <f t="shared" si="18"/>
        <v>0</v>
      </c>
      <c r="AH20" s="64">
        <f t="shared" si="19"/>
        <v>0</v>
      </c>
      <c r="AI20" s="64">
        <f t="shared" si="20"/>
        <v>0</v>
      </c>
      <c r="AJ20" s="64"/>
      <c r="AK20" s="64">
        <f t="shared" si="21"/>
        <v>0</v>
      </c>
      <c r="AL20" s="64">
        <f t="shared" si="22"/>
        <v>0</v>
      </c>
      <c r="AM20" s="64">
        <f t="shared" si="23"/>
        <v>0</v>
      </c>
      <c r="AN20" s="53"/>
      <c r="AO20" s="329">
        <f t="shared" si="4"/>
        <v>0</v>
      </c>
      <c r="AP20" s="329">
        <f t="shared" si="5"/>
        <v>0</v>
      </c>
      <c r="AQ20" s="329">
        <f t="shared" si="6"/>
        <v>0</v>
      </c>
      <c r="AR20" s="329">
        <f t="shared" si="24"/>
        <v>0</v>
      </c>
      <c r="AS20" s="329">
        <f t="shared" si="25"/>
        <v>0</v>
      </c>
      <c r="AU20" s="74">
        <f t="shared" si="26"/>
        <v>0</v>
      </c>
      <c r="AV20" s="74">
        <f t="shared" si="27"/>
        <v>0</v>
      </c>
      <c r="AW20" s="74">
        <f t="shared" si="28"/>
        <v>0</v>
      </c>
      <c r="AX20" s="74">
        <f t="shared" si="29"/>
        <v>0</v>
      </c>
      <c r="AY20" s="74">
        <f t="shared" si="30"/>
        <v>0</v>
      </c>
      <c r="AZ20" s="74">
        <f t="shared" si="31"/>
        <v>0</v>
      </c>
      <c r="BA20" s="74">
        <f t="shared" si="32"/>
        <v>0</v>
      </c>
      <c r="BB20" s="74">
        <f t="shared" si="33"/>
        <v>0</v>
      </c>
      <c r="BC20" s="74">
        <f t="shared" si="34"/>
        <v>0</v>
      </c>
      <c r="BD20" s="74">
        <f t="shared" si="35"/>
        <v>0</v>
      </c>
      <c r="BE20" s="74">
        <f t="shared" si="36"/>
        <v>0</v>
      </c>
      <c r="BF20" s="74">
        <f t="shared" si="37"/>
        <v>0</v>
      </c>
      <c r="BG20" s="74">
        <f t="shared" si="38"/>
        <v>0</v>
      </c>
      <c r="BH20" s="74">
        <f t="shared" si="39"/>
        <v>0</v>
      </c>
      <c r="BI20" s="74">
        <f t="shared" si="40"/>
        <v>0</v>
      </c>
      <c r="BJ20" s="74">
        <f t="shared" si="41"/>
        <v>0</v>
      </c>
      <c r="BK20" s="74">
        <f t="shared" si="42"/>
        <v>0</v>
      </c>
      <c r="BL20" s="76">
        <f t="shared" si="43"/>
        <v>0</v>
      </c>
      <c r="BM20" s="76">
        <f t="shared" si="44"/>
        <v>0</v>
      </c>
      <c r="BN20" s="76">
        <f t="shared" si="45"/>
        <v>0</v>
      </c>
      <c r="BO20" s="76">
        <f t="shared" si="46"/>
        <v>0</v>
      </c>
      <c r="BP20" s="76">
        <f t="shared" si="47"/>
        <v>0</v>
      </c>
      <c r="BQ20" s="76">
        <f t="shared" si="48"/>
        <v>0</v>
      </c>
      <c r="BR20" s="76">
        <f t="shared" si="49"/>
        <v>0</v>
      </c>
      <c r="BS20" s="76">
        <f t="shared" si="50"/>
        <v>0</v>
      </c>
      <c r="BT20" s="76">
        <f t="shared" si="51"/>
        <v>0</v>
      </c>
      <c r="BU20" s="76">
        <f t="shared" si="52"/>
        <v>0</v>
      </c>
      <c r="BV20" s="76">
        <f t="shared" si="53"/>
        <v>0</v>
      </c>
      <c r="BX20" s="55"/>
      <c r="BY20" s="55"/>
      <c r="BZ20" s="55"/>
      <c r="CA20" s="55"/>
      <c r="CB20" s="55"/>
      <c r="CC20" s="55"/>
      <c r="CD20" s="55"/>
      <c r="CE20" s="55"/>
      <c r="CF20" s="55"/>
      <c r="CG20" s="55"/>
      <c r="CH20" s="55"/>
      <c r="CI20" s="55"/>
      <c r="CJ20" s="55"/>
      <c r="CK20" s="55"/>
      <c r="CM20" s="64">
        <f t="shared" si="54"/>
        <v>150</v>
      </c>
      <c r="CN20" s="292"/>
      <c r="CP20" s="265">
        <f t="shared" si="55"/>
        <v>0</v>
      </c>
      <c r="CQ20" s="266">
        <f t="shared" si="56"/>
        <v>0</v>
      </c>
      <c r="CR20" s="267" t="str">
        <f t="shared" si="57"/>
        <v/>
      </c>
      <c r="CS20" s="267" t="str">
        <f t="shared" si="58"/>
        <v/>
      </c>
      <c r="CT20" s="267" t="str">
        <f t="shared" si="59"/>
        <v/>
      </c>
      <c r="CU20" s="267" t="str">
        <f t="shared" si="60"/>
        <v/>
      </c>
      <c r="CV20" s="267" t="str">
        <f t="shared" si="61"/>
        <v/>
      </c>
      <c r="CW20" s="267" t="str">
        <f t="shared" si="62"/>
        <v/>
      </c>
      <c r="CX20" s="267" t="str">
        <f t="shared" si="63"/>
        <v/>
      </c>
      <c r="CY20" s="267" t="str">
        <f t="shared" si="64"/>
        <v/>
      </c>
      <c r="CZ20" s="267" t="str">
        <f t="shared" si="65"/>
        <v/>
      </c>
      <c r="DA20" s="267" t="str">
        <f t="shared" si="66"/>
        <v/>
      </c>
      <c r="DB20" s="267" t="str">
        <f t="shared" si="67"/>
        <v/>
      </c>
      <c r="DC20" s="267" t="str">
        <f t="shared" si="68"/>
        <v/>
      </c>
      <c r="DD20" s="267" t="str">
        <f t="shared" si="69"/>
        <v/>
      </c>
      <c r="DE20" s="267" t="str">
        <f t="shared" si="70"/>
        <v/>
      </c>
      <c r="DF20" s="267" t="str">
        <f t="shared" si="71"/>
        <v/>
      </c>
      <c r="DG20" s="267" t="str">
        <f t="shared" si="72"/>
        <v/>
      </c>
      <c r="DH20" s="267" t="str">
        <f t="shared" si="73"/>
        <v/>
      </c>
      <c r="DI20" s="267" t="str">
        <f t="shared" si="74"/>
        <v/>
      </c>
      <c r="DJ20" s="267" t="str">
        <f t="shared" si="75"/>
        <v/>
      </c>
      <c r="DK20" s="267" t="str">
        <f t="shared" si="76"/>
        <v/>
      </c>
    </row>
    <row r="21" spans="2:115" s="54" customFormat="1" ht="27" customHeight="1">
      <c r="B21" s="14"/>
      <c r="C21" s="198"/>
      <c r="D21" s="196"/>
      <c r="E21" s="197"/>
      <c r="F21" s="198"/>
      <c r="G21" s="198"/>
      <c r="H21" s="199">
        <f t="shared" si="7"/>
        <v>0</v>
      </c>
      <c r="I21" s="200" t="str">
        <f t="shared" si="0"/>
        <v/>
      </c>
      <c r="J21" s="201"/>
      <c r="K21" s="202"/>
      <c r="L21" s="332"/>
      <c r="M21" s="332"/>
      <c r="N21" s="332"/>
      <c r="O21" s="332"/>
      <c r="P21" s="23"/>
      <c r="Q21" s="51" t="e">
        <f t="shared" si="1"/>
        <v>#N/A</v>
      </c>
      <c r="R21" s="40"/>
      <c r="S21" s="67" t="e">
        <f t="shared" si="8"/>
        <v>#N/A</v>
      </c>
      <c r="T21" s="67" t="e">
        <f t="shared" si="9"/>
        <v>#N/A</v>
      </c>
      <c r="U21" s="67" t="b">
        <f t="shared" si="2"/>
        <v>0</v>
      </c>
      <c r="V21" s="67" t="e">
        <f t="shared" si="10"/>
        <v>#N/A</v>
      </c>
      <c r="W21" s="67" t="b">
        <f t="shared" si="11"/>
        <v>0</v>
      </c>
      <c r="X21" s="67" t="b">
        <f t="shared" si="12"/>
        <v>0</v>
      </c>
      <c r="Y21" s="67" t="b">
        <f t="shared" si="13"/>
        <v>0</v>
      </c>
      <c r="Z21" s="67" t="b">
        <f t="shared" si="14"/>
        <v>0</v>
      </c>
      <c r="AA21" s="67" t="b">
        <f t="shared" si="15"/>
        <v>0</v>
      </c>
      <c r="AB21" s="67" t="b">
        <f t="shared" si="16"/>
        <v>0</v>
      </c>
      <c r="AC21" s="52"/>
      <c r="AD21" s="67" t="str">
        <f t="shared" si="17"/>
        <v/>
      </c>
      <c r="AE21" s="52"/>
      <c r="AF21" s="64">
        <f t="shared" si="3"/>
        <v>0</v>
      </c>
      <c r="AG21" s="64">
        <f t="shared" si="18"/>
        <v>0</v>
      </c>
      <c r="AH21" s="64">
        <f t="shared" si="19"/>
        <v>0</v>
      </c>
      <c r="AI21" s="64">
        <f t="shared" si="20"/>
        <v>0</v>
      </c>
      <c r="AJ21" s="64"/>
      <c r="AK21" s="64">
        <f t="shared" si="21"/>
        <v>0</v>
      </c>
      <c r="AL21" s="64">
        <f t="shared" si="22"/>
        <v>0</v>
      </c>
      <c r="AM21" s="64">
        <f t="shared" si="23"/>
        <v>0</v>
      </c>
      <c r="AN21" s="53"/>
      <c r="AO21" s="329">
        <f t="shared" si="4"/>
        <v>0</v>
      </c>
      <c r="AP21" s="329">
        <f t="shared" si="5"/>
        <v>0</v>
      </c>
      <c r="AQ21" s="329">
        <f t="shared" si="6"/>
        <v>0</v>
      </c>
      <c r="AR21" s="329">
        <f t="shared" si="24"/>
        <v>0</v>
      </c>
      <c r="AS21" s="329">
        <f t="shared" si="25"/>
        <v>0</v>
      </c>
      <c r="AU21" s="74">
        <f t="shared" si="26"/>
        <v>0</v>
      </c>
      <c r="AV21" s="74">
        <f t="shared" si="27"/>
        <v>0</v>
      </c>
      <c r="AW21" s="74">
        <f t="shared" si="28"/>
        <v>0</v>
      </c>
      <c r="AX21" s="74">
        <f t="shared" si="29"/>
        <v>0</v>
      </c>
      <c r="AY21" s="74">
        <f t="shared" si="30"/>
        <v>0</v>
      </c>
      <c r="AZ21" s="74">
        <f t="shared" si="31"/>
        <v>0</v>
      </c>
      <c r="BA21" s="74">
        <f t="shared" si="32"/>
        <v>0</v>
      </c>
      <c r="BB21" s="74">
        <f t="shared" si="33"/>
        <v>0</v>
      </c>
      <c r="BC21" s="74">
        <f t="shared" si="34"/>
        <v>0</v>
      </c>
      <c r="BD21" s="74">
        <f t="shared" si="35"/>
        <v>0</v>
      </c>
      <c r="BE21" s="74">
        <f t="shared" si="36"/>
        <v>0</v>
      </c>
      <c r="BF21" s="74">
        <f t="shared" si="37"/>
        <v>0</v>
      </c>
      <c r="BG21" s="74">
        <f t="shared" si="38"/>
        <v>0</v>
      </c>
      <c r="BH21" s="74">
        <f t="shared" si="39"/>
        <v>0</v>
      </c>
      <c r="BI21" s="74">
        <f t="shared" si="40"/>
        <v>0</v>
      </c>
      <c r="BJ21" s="74">
        <f t="shared" si="41"/>
        <v>0</v>
      </c>
      <c r="BK21" s="74">
        <f t="shared" si="42"/>
        <v>0</v>
      </c>
      <c r="BL21" s="76">
        <f t="shared" si="43"/>
        <v>0</v>
      </c>
      <c r="BM21" s="76">
        <f t="shared" si="44"/>
        <v>0</v>
      </c>
      <c r="BN21" s="76">
        <f t="shared" si="45"/>
        <v>0</v>
      </c>
      <c r="BO21" s="76">
        <f t="shared" si="46"/>
        <v>0</v>
      </c>
      <c r="BP21" s="76">
        <f t="shared" si="47"/>
        <v>0</v>
      </c>
      <c r="BQ21" s="76">
        <f t="shared" si="48"/>
        <v>0</v>
      </c>
      <c r="BR21" s="76">
        <f t="shared" si="49"/>
        <v>0</v>
      </c>
      <c r="BS21" s="76">
        <f t="shared" si="50"/>
        <v>0</v>
      </c>
      <c r="BT21" s="76">
        <f t="shared" si="51"/>
        <v>0</v>
      </c>
      <c r="BU21" s="76">
        <f t="shared" si="52"/>
        <v>0</v>
      </c>
      <c r="BV21" s="76">
        <f t="shared" si="53"/>
        <v>0</v>
      </c>
      <c r="BX21" s="55"/>
      <c r="BY21" s="55"/>
      <c r="BZ21" s="55"/>
      <c r="CA21" s="55"/>
      <c r="CB21" s="55"/>
      <c r="CC21" s="55"/>
      <c r="CD21" s="55"/>
      <c r="CE21" s="55"/>
      <c r="CF21" s="55"/>
      <c r="CG21" s="55"/>
      <c r="CH21" s="55"/>
      <c r="CI21" s="55"/>
      <c r="CJ21" s="55"/>
      <c r="CK21" s="55"/>
      <c r="CM21" s="64">
        <f t="shared" si="54"/>
        <v>150</v>
      </c>
      <c r="CN21" s="292"/>
      <c r="CP21" s="265">
        <f t="shared" si="55"/>
        <v>0</v>
      </c>
      <c r="CQ21" s="266">
        <f t="shared" si="56"/>
        <v>0</v>
      </c>
      <c r="CR21" s="267" t="str">
        <f t="shared" si="57"/>
        <v/>
      </c>
      <c r="CS21" s="267" t="str">
        <f t="shared" si="58"/>
        <v/>
      </c>
      <c r="CT21" s="267" t="str">
        <f t="shared" si="59"/>
        <v/>
      </c>
      <c r="CU21" s="267" t="str">
        <f t="shared" si="60"/>
        <v/>
      </c>
      <c r="CV21" s="267" t="str">
        <f t="shared" si="61"/>
        <v/>
      </c>
      <c r="CW21" s="267" t="str">
        <f t="shared" si="62"/>
        <v/>
      </c>
      <c r="CX21" s="267" t="str">
        <f t="shared" si="63"/>
        <v/>
      </c>
      <c r="CY21" s="267" t="str">
        <f t="shared" si="64"/>
        <v/>
      </c>
      <c r="CZ21" s="267" t="str">
        <f t="shared" si="65"/>
        <v/>
      </c>
      <c r="DA21" s="267" t="str">
        <f t="shared" si="66"/>
        <v/>
      </c>
      <c r="DB21" s="267" t="str">
        <f t="shared" si="67"/>
        <v/>
      </c>
      <c r="DC21" s="267" t="str">
        <f t="shared" si="68"/>
        <v/>
      </c>
      <c r="DD21" s="267" t="str">
        <f t="shared" si="69"/>
        <v/>
      </c>
      <c r="DE21" s="267" t="str">
        <f t="shared" si="70"/>
        <v/>
      </c>
      <c r="DF21" s="267" t="str">
        <f t="shared" si="71"/>
        <v/>
      </c>
      <c r="DG21" s="267" t="str">
        <f t="shared" si="72"/>
        <v/>
      </c>
      <c r="DH21" s="267" t="str">
        <f t="shared" si="73"/>
        <v/>
      </c>
      <c r="DI21" s="267" t="str">
        <f t="shared" si="74"/>
        <v/>
      </c>
      <c r="DJ21" s="267" t="str">
        <f t="shared" si="75"/>
        <v/>
      </c>
      <c r="DK21" s="267" t="str">
        <f t="shared" si="76"/>
        <v/>
      </c>
    </row>
    <row r="22" spans="2:115" s="54" customFormat="1" ht="27" customHeight="1">
      <c r="B22" s="14"/>
      <c r="C22" s="195"/>
      <c r="D22" s="196"/>
      <c r="E22" s="197"/>
      <c r="F22" s="198"/>
      <c r="G22" s="198"/>
      <c r="H22" s="199">
        <f t="shared" si="7"/>
        <v>0</v>
      </c>
      <c r="I22" s="200" t="str">
        <f t="shared" si="0"/>
        <v/>
      </c>
      <c r="J22" s="201"/>
      <c r="K22" s="202"/>
      <c r="L22" s="332"/>
      <c r="M22" s="332"/>
      <c r="N22" s="332"/>
      <c r="O22" s="332"/>
      <c r="P22" s="23"/>
      <c r="Q22" s="51" t="e">
        <f t="shared" si="1"/>
        <v>#N/A</v>
      </c>
      <c r="R22" s="40"/>
      <c r="S22" s="67" t="e">
        <f t="shared" si="8"/>
        <v>#N/A</v>
      </c>
      <c r="T22" s="67" t="e">
        <f t="shared" si="9"/>
        <v>#N/A</v>
      </c>
      <c r="U22" s="67" t="b">
        <f t="shared" si="2"/>
        <v>0</v>
      </c>
      <c r="V22" s="67" t="e">
        <f t="shared" si="10"/>
        <v>#N/A</v>
      </c>
      <c r="W22" s="67" t="b">
        <f t="shared" si="11"/>
        <v>0</v>
      </c>
      <c r="X22" s="67" t="b">
        <f t="shared" si="12"/>
        <v>0</v>
      </c>
      <c r="Y22" s="67" t="b">
        <f t="shared" si="13"/>
        <v>0</v>
      </c>
      <c r="Z22" s="67" t="b">
        <f t="shared" si="14"/>
        <v>0</v>
      </c>
      <c r="AA22" s="67" t="b">
        <f t="shared" si="15"/>
        <v>0</v>
      </c>
      <c r="AB22" s="67" t="b">
        <f t="shared" si="16"/>
        <v>0</v>
      </c>
      <c r="AC22" s="52"/>
      <c r="AD22" s="67" t="str">
        <f t="shared" si="17"/>
        <v/>
      </c>
      <c r="AE22" s="52"/>
      <c r="AF22" s="64">
        <f t="shared" si="3"/>
        <v>0</v>
      </c>
      <c r="AG22" s="64">
        <f t="shared" si="18"/>
        <v>0</v>
      </c>
      <c r="AH22" s="64">
        <f t="shared" si="19"/>
        <v>0</v>
      </c>
      <c r="AI22" s="64">
        <f t="shared" si="20"/>
        <v>0</v>
      </c>
      <c r="AJ22" s="64"/>
      <c r="AK22" s="64">
        <f t="shared" si="21"/>
        <v>0</v>
      </c>
      <c r="AL22" s="64">
        <f t="shared" si="22"/>
        <v>0</v>
      </c>
      <c r="AM22" s="64">
        <f t="shared" si="23"/>
        <v>0</v>
      </c>
      <c r="AN22" s="53"/>
      <c r="AO22" s="329">
        <f t="shared" si="4"/>
        <v>0</v>
      </c>
      <c r="AP22" s="329">
        <f t="shared" si="5"/>
        <v>0</v>
      </c>
      <c r="AQ22" s="329">
        <f t="shared" si="6"/>
        <v>0</v>
      </c>
      <c r="AR22" s="329">
        <f t="shared" si="24"/>
        <v>0</v>
      </c>
      <c r="AS22" s="329">
        <f t="shared" si="25"/>
        <v>0</v>
      </c>
      <c r="AU22" s="74">
        <f t="shared" si="26"/>
        <v>0</v>
      </c>
      <c r="AV22" s="74">
        <f t="shared" si="27"/>
        <v>0</v>
      </c>
      <c r="AW22" s="74">
        <f t="shared" si="28"/>
        <v>0</v>
      </c>
      <c r="AX22" s="74">
        <f t="shared" si="29"/>
        <v>0</v>
      </c>
      <c r="AY22" s="74">
        <f t="shared" si="30"/>
        <v>0</v>
      </c>
      <c r="AZ22" s="74">
        <f t="shared" si="31"/>
        <v>0</v>
      </c>
      <c r="BA22" s="74">
        <f t="shared" si="32"/>
        <v>0</v>
      </c>
      <c r="BB22" s="74">
        <f t="shared" si="33"/>
        <v>0</v>
      </c>
      <c r="BC22" s="74">
        <f t="shared" si="34"/>
        <v>0</v>
      </c>
      <c r="BD22" s="74">
        <f t="shared" si="35"/>
        <v>0</v>
      </c>
      <c r="BE22" s="74">
        <f t="shared" si="36"/>
        <v>0</v>
      </c>
      <c r="BF22" s="74">
        <f t="shared" si="37"/>
        <v>0</v>
      </c>
      <c r="BG22" s="74">
        <f t="shared" si="38"/>
        <v>0</v>
      </c>
      <c r="BH22" s="74">
        <f t="shared" si="39"/>
        <v>0</v>
      </c>
      <c r="BI22" s="74">
        <f t="shared" si="40"/>
        <v>0</v>
      </c>
      <c r="BJ22" s="74">
        <f t="shared" si="41"/>
        <v>0</v>
      </c>
      <c r="BK22" s="74">
        <f t="shared" si="42"/>
        <v>0</v>
      </c>
      <c r="BL22" s="76">
        <f t="shared" si="43"/>
        <v>0</v>
      </c>
      <c r="BM22" s="76">
        <f t="shared" si="44"/>
        <v>0</v>
      </c>
      <c r="BN22" s="76">
        <f t="shared" si="45"/>
        <v>0</v>
      </c>
      <c r="BO22" s="76">
        <f t="shared" si="46"/>
        <v>0</v>
      </c>
      <c r="BP22" s="76">
        <f t="shared" si="47"/>
        <v>0</v>
      </c>
      <c r="BQ22" s="76">
        <f t="shared" si="48"/>
        <v>0</v>
      </c>
      <c r="BR22" s="76">
        <f t="shared" si="49"/>
        <v>0</v>
      </c>
      <c r="BS22" s="76">
        <f t="shared" si="50"/>
        <v>0</v>
      </c>
      <c r="BT22" s="76">
        <f t="shared" si="51"/>
        <v>0</v>
      </c>
      <c r="BU22" s="76">
        <f t="shared" si="52"/>
        <v>0</v>
      </c>
      <c r="BV22" s="76">
        <f t="shared" si="53"/>
        <v>0</v>
      </c>
      <c r="BX22" s="55"/>
      <c r="BY22" s="55"/>
      <c r="BZ22" s="55"/>
      <c r="CA22" s="55"/>
      <c r="CB22" s="55"/>
      <c r="CC22" s="55"/>
      <c r="CD22" s="55"/>
      <c r="CE22" s="55"/>
      <c r="CF22" s="55"/>
      <c r="CG22" s="55"/>
      <c r="CH22" s="55"/>
      <c r="CI22" s="55"/>
      <c r="CJ22" s="55"/>
      <c r="CK22" s="55"/>
      <c r="CM22" s="64">
        <f t="shared" si="54"/>
        <v>150</v>
      </c>
      <c r="CN22" s="292"/>
      <c r="CP22" s="265">
        <f t="shared" si="55"/>
        <v>0</v>
      </c>
      <c r="CQ22" s="266">
        <f t="shared" si="56"/>
        <v>0</v>
      </c>
      <c r="CR22" s="267" t="str">
        <f t="shared" si="57"/>
        <v/>
      </c>
      <c r="CS22" s="267" t="str">
        <f t="shared" si="58"/>
        <v/>
      </c>
      <c r="CT22" s="267" t="str">
        <f t="shared" si="59"/>
        <v/>
      </c>
      <c r="CU22" s="267" t="str">
        <f t="shared" si="60"/>
        <v/>
      </c>
      <c r="CV22" s="267" t="str">
        <f t="shared" si="61"/>
        <v/>
      </c>
      <c r="CW22" s="267" t="str">
        <f t="shared" si="62"/>
        <v/>
      </c>
      <c r="CX22" s="267" t="str">
        <f t="shared" si="63"/>
        <v/>
      </c>
      <c r="CY22" s="267" t="str">
        <f t="shared" si="64"/>
        <v/>
      </c>
      <c r="CZ22" s="267" t="str">
        <f t="shared" si="65"/>
        <v/>
      </c>
      <c r="DA22" s="267" t="str">
        <f t="shared" si="66"/>
        <v/>
      </c>
      <c r="DB22" s="267" t="str">
        <f t="shared" si="67"/>
        <v/>
      </c>
      <c r="DC22" s="267" t="str">
        <f t="shared" si="68"/>
        <v/>
      </c>
      <c r="DD22" s="267" t="str">
        <f t="shared" si="69"/>
        <v/>
      </c>
      <c r="DE22" s="267" t="str">
        <f t="shared" si="70"/>
        <v/>
      </c>
      <c r="DF22" s="267" t="str">
        <f t="shared" si="71"/>
        <v/>
      </c>
      <c r="DG22" s="267" t="str">
        <f t="shared" si="72"/>
        <v/>
      </c>
      <c r="DH22" s="267" t="str">
        <f t="shared" si="73"/>
        <v/>
      </c>
      <c r="DI22" s="267" t="str">
        <f t="shared" si="74"/>
        <v/>
      </c>
      <c r="DJ22" s="267" t="str">
        <f t="shared" si="75"/>
        <v/>
      </c>
      <c r="DK22" s="267" t="str">
        <f t="shared" si="76"/>
        <v/>
      </c>
    </row>
    <row r="23" spans="2:115" s="54" customFormat="1" ht="27" customHeight="1">
      <c r="B23" s="14"/>
      <c r="C23" s="198"/>
      <c r="D23" s="196"/>
      <c r="E23" s="197"/>
      <c r="F23" s="198"/>
      <c r="G23" s="198"/>
      <c r="H23" s="199">
        <f>$F23*$G23</f>
        <v>0</v>
      </c>
      <c r="I23" s="200" t="str">
        <f t="shared" si="0"/>
        <v/>
      </c>
      <c r="J23" s="201"/>
      <c r="K23" s="198"/>
      <c r="L23" s="198"/>
      <c r="M23" s="332"/>
      <c r="N23" s="332"/>
      <c r="O23" s="332"/>
      <c r="P23" s="23"/>
      <c r="Q23" s="51" t="e">
        <f t="shared" si="1"/>
        <v>#N/A</v>
      </c>
      <c r="R23" s="40"/>
      <c r="S23" s="67" t="e">
        <f t="shared" si="8"/>
        <v>#N/A</v>
      </c>
      <c r="T23" s="67" t="e">
        <f t="shared" si="9"/>
        <v>#N/A</v>
      </c>
      <c r="U23" s="67" t="b">
        <f t="shared" si="2"/>
        <v>0</v>
      </c>
      <c r="V23" s="67" t="e">
        <f>OR(AND(VLOOKUP($J23,table,6,FALSE)=4,$N23&lt;2*$E23,$N23&lt;&gt;""),AND(VLOOKUP($J23,table,7,FALSE)=4,$O23&lt;2*$E23,$O23&lt;&gt;""))</f>
        <v>#N/A</v>
      </c>
      <c r="W23" s="67" t="b">
        <f t="shared" si="11"/>
        <v>0</v>
      </c>
      <c r="X23" s="67" t="b">
        <f t="shared" si="12"/>
        <v>0</v>
      </c>
      <c r="Y23" s="67" t="b">
        <f t="shared" si="13"/>
        <v>0</v>
      </c>
      <c r="Z23" s="67" t="b">
        <f t="shared" si="14"/>
        <v>0</v>
      </c>
      <c r="AA23" s="67" t="b">
        <f t="shared" si="15"/>
        <v>0</v>
      </c>
      <c r="AB23" s="67" t="b">
        <f t="shared" si="16"/>
        <v>0</v>
      </c>
      <c r="AC23" s="52"/>
      <c r="AD23" s="67" t="str">
        <f t="shared" si="17"/>
        <v/>
      </c>
      <c r="AE23" s="52"/>
      <c r="AF23" s="64">
        <f>E23</f>
        <v>0</v>
      </c>
      <c r="AG23" s="64">
        <f t="shared" si="18"/>
        <v>0</v>
      </c>
      <c r="AH23" s="64">
        <f t="shared" si="19"/>
        <v>0</v>
      </c>
      <c r="AI23" s="64">
        <f t="shared" si="20"/>
        <v>0</v>
      </c>
      <c r="AJ23" s="64"/>
      <c r="AK23" s="64">
        <f t="shared" si="21"/>
        <v>0</v>
      </c>
      <c r="AL23" s="64">
        <f t="shared" si="22"/>
        <v>0</v>
      </c>
      <c r="AM23" s="64">
        <f t="shared" si="23"/>
        <v>0</v>
      </c>
      <c r="AN23" s="53"/>
      <c r="AO23" s="329">
        <f>IF(OR(D23="R",AND(D23="S",$AL$5=1),AND(D23="X",$AL$5=1)),AG23,AK23)</f>
        <v>0</v>
      </c>
      <c r="AP23" s="329">
        <f>IF(OR(D23="R",AND(D23="S",$AL$5=1),AND(D23="X",$AL$5=1)),AH23,AL23)</f>
        <v>0</v>
      </c>
      <c r="AQ23" s="329">
        <f>IF(OR(D23="R",AND(D23="S",$AL$5=1),AND(D23="X",$AL$5=1)),AI23,AM23)</f>
        <v>0</v>
      </c>
      <c r="AR23" s="329">
        <f t="shared" si="24"/>
        <v>0</v>
      </c>
      <c r="AS23" s="329">
        <f t="shared" si="25"/>
        <v>0</v>
      </c>
      <c r="AU23" s="74">
        <f t="shared" si="26"/>
        <v>0</v>
      </c>
      <c r="AV23" s="74">
        <f t="shared" si="27"/>
        <v>0</v>
      </c>
      <c r="AW23" s="74">
        <f t="shared" si="28"/>
        <v>0</v>
      </c>
      <c r="AX23" s="74">
        <f t="shared" si="29"/>
        <v>0</v>
      </c>
      <c r="AY23" s="74">
        <f t="shared" si="30"/>
        <v>0</v>
      </c>
      <c r="AZ23" s="74">
        <f t="shared" si="31"/>
        <v>0</v>
      </c>
      <c r="BA23" s="74">
        <f t="shared" si="32"/>
        <v>0</v>
      </c>
      <c r="BB23" s="74">
        <f t="shared" si="33"/>
        <v>0</v>
      </c>
      <c r="BC23" s="74">
        <f t="shared" si="34"/>
        <v>0</v>
      </c>
      <c r="BD23" s="74">
        <f t="shared" si="35"/>
        <v>0</v>
      </c>
      <c r="BE23" s="74">
        <f t="shared" si="36"/>
        <v>0</v>
      </c>
      <c r="BF23" s="74">
        <f t="shared" si="37"/>
        <v>0</v>
      </c>
      <c r="BG23" s="74">
        <f t="shared" si="38"/>
        <v>0</v>
      </c>
      <c r="BH23" s="74">
        <f t="shared" si="39"/>
        <v>0</v>
      </c>
      <c r="BI23" s="74">
        <f t="shared" si="40"/>
        <v>0</v>
      </c>
      <c r="BJ23" s="74">
        <f t="shared" si="41"/>
        <v>0</v>
      </c>
      <c r="BK23" s="74">
        <f t="shared" si="42"/>
        <v>0</v>
      </c>
      <c r="BL23" s="76">
        <f t="shared" si="43"/>
        <v>0</v>
      </c>
      <c r="BM23" s="76">
        <f t="shared" si="44"/>
        <v>0</v>
      </c>
      <c r="BN23" s="76">
        <f t="shared" si="45"/>
        <v>0</v>
      </c>
      <c r="BO23" s="76">
        <f t="shared" si="46"/>
        <v>0</v>
      </c>
      <c r="BP23" s="76">
        <f t="shared" si="47"/>
        <v>0</v>
      </c>
      <c r="BQ23" s="76">
        <f t="shared" si="48"/>
        <v>0</v>
      </c>
      <c r="BR23" s="76">
        <f t="shared" si="49"/>
        <v>0</v>
      </c>
      <c r="BS23" s="76">
        <f t="shared" si="50"/>
        <v>0</v>
      </c>
      <c r="BT23" s="76">
        <f t="shared" si="51"/>
        <v>0</v>
      </c>
      <c r="BU23" s="76">
        <f t="shared" si="52"/>
        <v>0</v>
      </c>
      <c r="BV23" s="76">
        <f t="shared" si="53"/>
        <v>0</v>
      </c>
      <c r="BX23" s="55"/>
      <c r="BY23" s="55"/>
      <c r="BZ23" s="55"/>
      <c r="CA23" s="55"/>
      <c r="CB23" s="55"/>
      <c r="CC23" s="55"/>
      <c r="CD23" s="55"/>
      <c r="CE23" s="55"/>
      <c r="CF23" s="55"/>
      <c r="CG23" s="55"/>
      <c r="CH23" s="55"/>
      <c r="CI23" s="55"/>
      <c r="CJ23" s="55"/>
      <c r="CK23" s="55"/>
      <c r="CM23" s="64">
        <f>IF(OR(D23="R",AND(D23="S",$AL$5=1),AND(D23="X",$AL$5=1)),100,150)</f>
        <v>150</v>
      </c>
      <c r="CN23" s="292"/>
      <c r="CP23" s="265">
        <f>$C23</f>
        <v>0</v>
      </c>
      <c r="CQ23" s="266">
        <f t="shared" si="56"/>
        <v>0</v>
      </c>
      <c r="CR23" s="267" t="str">
        <f>IF(AND($D23="R",$E23=6,deleted&lt;&gt;"X"),$H23*$I23/1000*(PI()*dia^2/4)*0.00785,"")</f>
        <v/>
      </c>
      <c r="CS23" s="267" t="str">
        <f>IF(AND($D23="R",$E23=8,deleted&lt;&gt;"X"),$H23*$I23/1000*(PI()*dia^2/4)*0.00785,"")</f>
        <v/>
      </c>
      <c r="CT23" s="267" t="str">
        <f>IF(AND($D23="R",$E23=10,deleted&lt;&gt;"X"),$H23*$I23/1000*(PI()*dia^2/4)*0.00785,"")</f>
        <v/>
      </c>
      <c r="CU23" s="267" t="str">
        <f>IF(AND($D23="R",$E23=12,deleted&lt;&gt;"X"),$H23*$I23/1000*(PI()*dia^2/4)*0.00785,"")</f>
        <v/>
      </c>
      <c r="CV23" s="267" t="str">
        <f>IF(AND($D23="R",$E23=16,deleted&lt;&gt;"X"),$H23*$I23/1000*(PI()*dia^2/4)*0.00785,"")</f>
        <v/>
      </c>
      <c r="CW23" s="267" t="str">
        <f>IF(AND($D23="R",$E23=20,deleted&lt;&gt;"X"),$H23*$I23/1000*(PI()*dia^2/4)*0.00785,"")</f>
        <v/>
      </c>
      <c r="CX23" s="267" t="str">
        <f>IF(AND($D23="R",$E23=25,deleted&lt;&gt;"X"),$H23*$I23/1000*(PI()*dia^2/4)*0.00785,"")</f>
        <v/>
      </c>
      <c r="CY23" s="267" t="str">
        <f>IF(AND($D23="R",$E23=32,deleted&lt;&gt;"X"),$H23*$I23/1000*(PI()*dia^2/4)*0.00785,"")</f>
        <v/>
      </c>
      <c r="CZ23" s="267" t="str">
        <f>IF(AND($D23="R",$E23=40,deleted&lt;&gt;"X"),$H23*$I23/1000*(PI()*dia^2/4)*0.00785,"")</f>
        <v/>
      </c>
      <c r="DA23" s="267" t="str">
        <f>IF(AND($D23="R",$E23=50,deleted&lt;&gt;"X"),$H23*$I23/1000*(PI()*dia^2/4)*0.00785,"")</f>
        <v/>
      </c>
      <c r="DB23" s="267" t="str">
        <f>IF(AND($D23="T",$E23=6,deleted&lt;&gt;"X"),$H23*$I23/1000*(PI()*dia^2/4)*0.00785,"")</f>
        <v/>
      </c>
      <c r="DC23" s="267" t="str">
        <f>IF(AND($D23="T",$E23=8,deleted&lt;&gt;"X"),$H23*$I23/1000*(PI()*dia^2/4)*0.00785,"")</f>
        <v/>
      </c>
      <c r="DD23" s="267" t="str">
        <f>IF(AND($D23="T",$E23=10,deleted&lt;&gt;"X"),$H23*$I23/1000*(PI()*dia^2/4)*0.00785,"")</f>
        <v/>
      </c>
      <c r="DE23" s="267" t="str">
        <f>IF(AND($D23="T",$E23=12,deleted&lt;&gt;"X"),$H23*$I23/1000*(PI()*dia^2/4)*0.00785,"")</f>
        <v/>
      </c>
      <c r="DF23" s="267" t="str">
        <f>IF(AND($D23="T",$E23=16,deleted&lt;&gt;"X"),$H23*$I23/1000*(PI()*dia^2/4)*0.00785,"")</f>
        <v/>
      </c>
      <c r="DG23" s="267" t="str">
        <f>IF(AND($D23="T",$E23=20,deleted&lt;&gt;"X"),$H23*$I23/1000*(PI()*dia^2/4)*0.00785,"")</f>
        <v/>
      </c>
      <c r="DH23" s="267" t="str">
        <f>IF(AND($D23="T",$E23=25,deleted&lt;&gt;"X"),$H23*$I23/1000*(PI()*dia^2/4)*0.00785,"")</f>
        <v/>
      </c>
      <c r="DI23" s="267" t="str">
        <f>IF(AND($D23="T",$E23=32,deleted&lt;&gt;"X"),$H23*$I23/1000*(PI()*dia^2/4)*0.00785,"")</f>
        <v/>
      </c>
      <c r="DJ23" s="267" t="str">
        <f>IF(AND($D23="T",$E23=40,deleted&lt;&gt;"X"),$H23*$I23/1000*(PI()*dia^2/4)*0.00785,"")</f>
        <v/>
      </c>
      <c r="DK23" s="267" t="str">
        <f>IF(AND($D23="T",$E23=50,deleted&lt;&gt;"X"),$H23*$I23/1000*(PI()*dia^2/4)*0.00785,"")</f>
        <v/>
      </c>
    </row>
    <row r="24" spans="2:115" s="54" customFormat="1" ht="27" customHeight="1">
      <c r="B24" s="14"/>
      <c r="C24" s="198"/>
      <c r="D24" s="196"/>
      <c r="E24" s="197"/>
      <c r="F24" s="198"/>
      <c r="G24" s="198"/>
      <c r="H24" s="199">
        <f>$F24*$G24</f>
        <v>0</v>
      </c>
      <c r="I24" s="200" t="str">
        <f t="shared" si="0"/>
        <v/>
      </c>
      <c r="J24" s="201"/>
      <c r="K24" s="198"/>
      <c r="L24" s="198"/>
      <c r="M24" s="332"/>
      <c r="N24" s="332"/>
      <c r="O24" s="332"/>
      <c r="P24" s="23"/>
      <c r="Q24" s="51" t="e">
        <f t="shared" si="1"/>
        <v>#N/A</v>
      </c>
      <c r="R24" s="40"/>
      <c r="S24" s="67" t="e">
        <f t="shared" si="8"/>
        <v>#N/A</v>
      </c>
      <c r="T24" s="67" t="e">
        <f t="shared" si="9"/>
        <v>#N/A</v>
      </c>
      <c r="U24" s="67" t="b">
        <f t="shared" si="2"/>
        <v>0</v>
      </c>
      <c r="V24" s="67" t="e">
        <f>OR(AND(VLOOKUP($J24,table,6,FALSE)=4,$N24&lt;2*$E24,$N24&lt;&gt;""),AND(VLOOKUP($J24,table,7,FALSE)=4,$O24&lt;2*$E24,$O24&lt;&gt;""))</f>
        <v>#N/A</v>
      </c>
      <c r="W24" s="67" t="b">
        <f t="shared" si="11"/>
        <v>0</v>
      </c>
      <c r="X24" s="67" t="b">
        <f t="shared" si="12"/>
        <v>0</v>
      </c>
      <c r="Y24" s="67" t="b">
        <f t="shared" si="13"/>
        <v>0</v>
      </c>
      <c r="Z24" s="67" t="b">
        <f t="shared" si="14"/>
        <v>0</v>
      </c>
      <c r="AA24" s="67" t="b">
        <f t="shared" si="15"/>
        <v>0</v>
      </c>
      <c r="AB24" s="67" t="b">
        <f t="shared" si="16"/>
        <v>0</v>
      </c>
      <c r="AC24" s="52"/>
      <c r="AD24" s="67" t="str">
        <f t="shared" si="17"/>
        <v/>
      </c>
      <c r="AE24" s="52"/>
      <c r="AF24" s="64">
        <f>E24</f>
        <v>0</v>
      </c>
      <c r="AG24" s="64">
        <f t="shared" si="18"/>
        <v>0</v>
      </c>
      <c r="AH24" s="64">
        <f t="shared" si="19"/>
        <v>0</v>
      </c>
      <c r="AI24" s="64">
        <f t="shared" si="20"/>
        <v>0</v>
      </c>
      <c r="AJ24" s="64"/>
      <c r="AK24" s="64">
        <f t="shared" si="21"/>
        <v>0</v>
      </c>
      <c r="AL24" s="64">
        <f t="shared" si="22"/>
        <v>0</v>
      </c>
      <c r="AM24" s="64">
        <f t="shared" si="23"/>
        <v>0</v>
      </c>
      <c r="AN24" s="53"/>
      <c r="AO24" s="329">
        <f>IF(OR(D24="R",AND(D24="S",$AL$5=1),AND(D24="X",$AL$5=1)),AG24,AK24)</f>
        <v>0</v>
      </c>
      <c r="AP24" s="329">
        <f>IF(OR(D24="R",AND(D24="S",$AL$5=1),AND(D24="X",$AL$5=1)),AH24,AL24)</f>
        <v>0</v>
      </c>
      <c r="AQ24" s="329">
        <f>IF(OR(D24="R",AND(D24="S",$AL$5=1),AND(D24="X",$AL$5=1)),AI24,AM24)</f>
        <v>0</v>
      </c>
      <c r="AR24" s="329">
        <f t="shared" si="24"/>
        <v>0</v>
      </c>
      <c r="AS24" s="329">
        <f t="shared" si="25"/>
        <v>0</v>
      </c>
      <c r="AU24" s="74">
        <f t="shared" si="26"/>
        <v>0</v>
      </c>
      <c r="AV24" s="74">
        <f t="shared" si="27"/>
        <v>0</v>
      </c>
      <c r="AW24" s="74">
        <f t="shared" si="28"/>
        <v>0</v>
      </c>
      <c r="AX24" s="74">
        <f t="shared" si="29"/>
        <v>0</v>
      </c>
      <c r="AY24" s="74">
        <f t="shared" si="30"/>
        <v>0</v>
      </c>
      <c r="AZ24" s="74">
        <f t="shared" si="31"/>
        <v>0</v>
      </c>
      <c r="BA24" s="74">
        <f t="shared" si="32"/>
        <v>0</v>
      </c>
      <c r="BB24" s="74">
        <f t="shared" si="33"/>
        <v>0</v>
      </c>
      <c r="BC24" s="74">
        <f t="shared" si="34"/>
        <v>0</v>
      </c>
      <c r="BD24" s="74">
        <f t="shared" si="35"/>
        <v>0</v>
      </c>
      <c r="BE24" s="74">
        <f t="shared" si="36"/>
        <v>0</v>
      </c>
      <c r="BF24" s="74">
        <f t="shared" si="37"/>
        <v>0</v>
      </c>
      <c r="BG24" s="74">
        <f t="shared" si="38"/>
        <v>0</v>
      </c>
      <c r="BH24" s="74">
        <f t="shared" si="39"/>
        <v>0</v>
      </c>
      <c r="BI24" s="74">
        <f t="shared" si="40"/>
        <v>0</v>
      </c>
      <c r="BJ24" s="74">
        <f t="shared" si="41"/>
        <v>0</v>
      </c>
      <c r="BK24" s="74">
        <f t="shared" si="42"/>
        <v>0</v>
      </c>
      <c r="BL24" s="76">
        <f t="shared" si="43"/>
        <v>0</v>
      </c>
      <c r="BM24" s="76">
        <f t="shared" si="44"/>
        <v>0</v>
      </c>
      <c r="BN24" s="76">
        <f t="shared" si="45"/>
        <v>0</v>
      </c>
      <c r="BO24" s="76">
        <f t="shared" si="46"/>
        <v>0</v>
      </c>
      <c r="BP24" s="76">
        <f t="shared" si="47"/>
        <v>0</v>
      </c>
      <c r="BQ24" s="76">
        <f t="shared" si="48"/>
        <v>0</v>
      </c>
      <c r="BR24" s="76">
        <f t="shared" si="49"/>
        <v>0</v>
      </c>
      <c r="BS24" s="76">
        <f t="shared" si="50"/>
        <v>0</v>
      </c>
      <c r="BT24" s="76">
        <f t="shared" si="51"/>
        <v>0</v>
      </c>
      <c r="BU24" s="76">
        <f t="shared" si="52"/>
        <v>0</v>
      </c>
      <c r="BV24" s="76">
        <f t="shared" si="53"/>
        <v>0</v>
      </c>
      <c r="BX24" s="55"/>
      <c r="BY24" s="55"/>
      <c r="BZ24" s="55"/>
      <c r="CA24" s="55"/>
      <c r="CB24" s="55"/>
      <c r="CC24" s="55"/>
      <c r="CD24" s="55"/>
      <c r="CE24" s="55"/>
      <c r="CF24" s="55"/>
      <c r="CG24" s="55"/>
      <c r="CH24" s="55"/>
      <c r="CI24" s="55"/>
      <c r="CJ24" s="55"/>
      <c r="CK24" s="55"/>
      <c r="CM24" s="64">
        <f>IF(OR(D24="R",AND(D24="S",$AL$5=1),AND(D24="X",$AL$5=1)),100,150)</f>
        <v>150</v>
      </c>
      <c r="CN24" s="292"/>
      <c r="CP24" s="265">
        <f>$C24</f>
        <v>0</v>
      </c>
      <c r="CQ24" s="266">
        <f t="shared" si="56"/>
        <v>0</v>
      </c>
      <c r="CR24" s="267" t="str">
        <f>IF(AND($D24="R",$E24=6,deleted&lt;&gt;"X"),$H24*$I24/1000*(PI()*dia^2/4)*0.00785,"")</f>
        <v/>
      </c>
      <c r="CS24" s="267" t="str">
        <f>IF(AND($D24="R",$E24=8,deleted&lt;&gt;"X"),$H24*$I24/1000*(PI()*dia^2/4)*0.00785,"")</f>
        <v/>
      </c>
      <c r="CT24" s="267" t="str">
        <f>IF(AND($D24="R",$E24=10,deleted&lt;&gt;"X"),$H24*$I24/1000*(PI()*dia^2/4)*0.00785,"")</f>
        <v/>
      </c>
      <c r="CU24" s="267" t="str">
        <f>IF(AND($D24="R",$E24=12,deleted&lt;&gt;"X"),$H24*$I24/1000*(PI()*dia^2/4)*0.00785,"")</f>
        <v/>
      </c>
      <c r="CV24" s="267" t="str">
        <f>IF(AND($D24="R",$E24=16,deleted&lt;&gt;"X"),$H24*$I24/1000*(PI()*dia^2/4)*0.00785,"")</f>
        <v/>
      </c>
      <c r="CW24" s="267" t="str">
        <f>IF(AND($D24="R",$E24=20,deleted&lt;&gt;"X"),$H24*$I24/1000*(PI()*dia^2/4)*0.00785,"")</f>
        <v/>
      </c>
      <c r="CX24" s="267" t="str">
        <f>IF(AND($D24="R",$E24=25,deleted&lt;&gt;"X"),$H24*$I24/1000*(PI()*dia^2/4)*0.00785,"")</f>
        <v/>
      </c>
      <c r="CY24" s="267" t="str">
        <f>IF(AND($D24="R",$E24=32,deleted&lt;&gt;"X"),$H24*$I24/1000*(PI()*dia^2/4)*0.00785,"")</f>
        <v/>
      </c>
      <c r="CZ24" s="267" t="str">
        <f>IF(AND($D24="R",$E24=40,deleted&lt;&gt;"X"),$H24*$I24/1000*(PI()*dia^2/4)*0.00785,"")</f>
        <v/>
      </c>
      <c r="DA24" s="267" t="str">
        <f>IF(AND($D24="R",$E24=50,deleted&lt;&gt;"X"),$H24*$I24/1000*(PI()*dia^2/4)*0.00785,"")</f>
        <v/>
      </c>
      <c r="DB24" s="267" t="str">
        <f>IF(AND($D24="T",$E24=6,deleted&lt;&gt;"X"),$H24*$I24/1000*(PI()*dia^2/4)*0.00785,"")</f>
        <v/>
      </c>
      <c r="DC24" s="267" t="str">
        <f>IF(AND($D24="T",$E24=8,deleted&lt;&gt;"X"),$H24*$I24/1000*(PI()*dia^2/4)*0.00785,"")</f>
        <v/>
      </c>
      <c r="DD24" s="267" t="str">
        <f>IF(AND($D24="T",$E24=10,deleted&lt;&gt;"X"),$H24*$I24/1000*(PI()*dia^2/4)*0.00785,"")</f>
        <v/>
      </c>
      <c r="DE24" s="267" t="str">
        <f>IF(AND($D24="T",$E24=12,deleted&lt;&gt;"X"),$H24*$I24/1000*(PI()*dia^2/4)*0.00785,"")</f>
        <v/>
      </c>
      <c r="DF24" s="267" t="str">
        <f>IF(AND($D24="T",$E24=16,deleted&lt;&gt;"X"),$H24*$I24/1000*(PI()*dia^2/4)*0.00785,"")</f>
        <v/>
      </c>
      <c r="DG24" s="267" t="str">
        <f>IF(AND($D24="T",$E24=20,deleted&lt;&gt;"X"),$H24*$I24/1000*(PI()*dia^2/4)*0.00785,"")</f>
        <v/>
      </c>
      <c r="DH24" s="267" t="str">
        <f>IF(AND($D24="T",$E24=25,deleted&lt;&gt;"X"),$H24*$I24/1000*(PI()*dia^2/4)*0.00785,"")</f>
        <v/>
      </c>
      <c r="DI24" s="267" t="str">
        <f>IF(AND($D24="T",$E24=32,deleted&lt;&gt;"X"),$H24*$I24/1000*(PI()*dia^2/4)*0.00785,"")</f>
        <v/>
      </c>
      <c r="DJ24" s="267" t="str">
        <f>IF(AND($D24="T",$E24=40,deleted&lt;&gt;"X"),$H24*$I24/1000*(PI()*dia^2/4)*0.00785,"")</f>
        <v/>
      </c>
      <c r="DK24" s="267" t="str">
        <f>IF(AND($D24="T",$E24=50,deleted&lt;&gt;"X"),$H24*$I24/1000*(PI()*dia^2/4)*0.00785,"")</f>
        <v/>
      </c>
    </row>
    <row r="25" spans="2:115" s="54" customFormat="1" ht="27" customHeight="1">
      <c r="B25" s="14"/>
      <c r="C25" s="198"/>
      <c r="D25" s="196"/>
      <c r="E25" s="197"/>
      <c r="F25" s="198"/>
      <c r="G25" s="198"/>
      <c r="H25" s="199">
        <f>$F25*$G25</f>
        <v>0</v>
      </c>
      <c r="I25" s="200" t="str">
        <f t="shared" si="0"/>
        <v/>
      </c>
      <c r="J25" s="201"/>
      <c r="K25" s="198"/>
      <c r="L25" s="198"/>
      <c r="M25" s="332"/>
      <c r="N25" s="332"/>
      <c r="O25" s="198"/>
      <c r="P25" s="23"/>
      <c r="Q25" s="51" t="e">
        <f t="shared" si="1"/>
        <v>#N/A</v>
      </c>
      <c r="R25" s="40"/>
      <c r="S25" s="67" t="e">
        <f t="shared" si="8"/>
        <v>#N/A</v>
      </c>
      <c r="T25" s="67" t="e">
        <f t="shared" si="9"/>
        <v>#N/A</v>
      </c>
      <c r="U25" s="67" t="b">
        <f t="shared" si="2"/>
        <v>0</v>
      </c>
      <c r="V25" s="67" t="e">
        <f>OR(AND(VLOOKUP($J25,table,6,FALSE)=4,$N25&lt;2*$E25,$N25&lt;&gt;""),AND(VLOOKUP($J25,table,7,FALSE)=4,$O25&lt;2*$E25,$O25&lt;&gt;""))</f>
        <v>#N/A</v>
      </c>
      <c r="W25" s="67" t="b">
        <f t="shared" si="11"/>
        <v>0</v>
      </c>
      <c r="X25" s="67" t="b">
        <f t="shared" si="12"/>
        <v>0</v>
      </c>
      <c r="Y25" s="67" t="b">
        <f t="shared" si="13"/>
        <v>0</v>
      </c>
      <c r="Z25" s="67" t="b">
        <f t="shared" si="14"/>
        <v>0</v>
      </c>
      <c r="AA25" s="67" t="b">
        <f t="shared" si="15"/>
        <v>0</v>
      </c>
      <c r="AB25" s="67" t="b">
        <f t="shared" si="16"/>
        <v>0</v>
      </c>
      <c r="AC25" s="52"/>
      <c r="AD25" s="67" t="str">
        <f t="shared" si="17"/>
        <v/>
      </c>
      <c r="AE25" s="52"/>
      <c r="AF25" s="64">
        <f>E25</f>
        <v>0</v>
      </c>
      <c r="AG25" s="64">
        <f t="shared" si="18"/>
        <v>0</v>
      </c>
      <c r="AH25" s="64">
        <f t="shared" si="19"/>
        <v>0</v>
      </c>
      <c r="AI25" s="64">
        <f t="shared" si="20"/>
        <v>0</v>
      </c>
      <c r="AJ25" s="64"/>
      <c r="AK25" s="64">
        <f t="shared" si="21"/>
        <v>0</v>
      </c>
      <c r="AL25" s="64">
        <f t="shared" si="22"/>
        <v>0</v>
      </c>
      <c r="AM25" s="64">
        <f t="shared" si="23"/>
        <v>0</v>
      </c>
      <c r="AN25" s="53"/>
      <c r="AO25" s="329">
        <f>IF(OR(D25="R",AND(D25="S",$AL$5=1),AND(D25="X",$AL$5=1)),AG25,AK25)</f>
        <v>0</v>
      </c>
      <c r="AP25" s="329">
        <f>IF(OR(D25="R",AND(D25="S",$AL$5=1),AND(D25="X",$AL$5=1)),AH25,AL25)</f>
        <v>0</v>
      </c>
      <c r="AQ25" s="329">
        <f>IF(OR(D25="R",AND(D25="S",$AL$5=1),AND(D25="X",$AL$5=1)),AI25,AM25)</f>
        <v>0</v>
      </c>
      <c r="AR25" s="329">
        <f t="shared" si="24"/>
        <v>0</v>
      </c>
      <c r="AS25" s="329">
        <f t="shared" si="25"/>
        <v>0</v>
      </c>
      <c r="AU25" s="74">
        <f t="shared" si="26"/>
        <v>0</v>
      </c>
      <c r="AV25" s="74">
        <f t="shared" si="27"/>
        <v>0</v>
      </c>
      <c r="AW25" s="74">
        <f t="shared" si="28"/>
        <v>0</v>
      </c>
      <c r="AX25" s="74">
        <f t="shared" si="29"/>
        <v>0</v>
      </c>
      <c r="AY25" s="74">
        <f t="shared" si="30"/>
        <v>0</v>
      </c>
      <c r="AZ25" s="74">
        <f t="shared" si="31"/>
        <v>0</v>
      </c>
      <c r="BA25" s="74">
        <f t="shared" si="32"/>
        <v>0</v>
      </c>
      <c r="BB25" s="74">
        <f t="shared" si="33"/>
        <v>0</v>
      </c>
      <c r="BC25" s="74">
        <f t="shared" si="34"/>
        <v>0</v>
      </c>
      <c r="BD25" s="74">
        <f t="shared" si="35"/>
        <v>0</v>
      </c>
      <c r="BE25" s="74">
        <f t="shared" si="36"/>
        <v>0</v>
      </c>
      <c r="BF25" s="74">
        <f t="shared" si="37"/>
        <v>0</v>
      </c>
      <c r="BG25" s="74">
        <f t="shared" si="38"/>
        <v>0</v>
      </c>
      <c r="BH25" s="74">
        <f t="shared" si="39"/>
        <v>0</v>
      </c>
      <c r="BI25" s="74">
        <f t="shared" si="40"/>
        <v>0</v>
      </c>
      <c r="BJ25" s="74">
        <f t="shared" si="41"/>
        <v>0</v>
      </c>
      <c r="BK25" s="74">
        <f t="shared" si="42"/>
        <v>0</v>
      </c>
      <c r="BL25" s="76">
        <f t="shared" si="43"/>
        <v>0</v>
      </c>
      <c r="BM25" s="76">
        <f t="shared" si="44"/>
        <v>0</v>
      </c>
      <c r="BN25" s="76">
        <f t="shared" si="45"/>
        <v>0</v>
      </c>
      <c r="BO25" s="76">
        <f t="shared" si="46"/>
        <v>0</v>
      </c>
      <c r="BP25" s="76">
        <f t="shared" si="47"/>
        <v>0</v>
      </c>
      <c r="BQ25" s="76">
        <f t="shared" si="48"/>
        <v>0</v>
      </c>
      <c r="BR25" s="76">
        <f t="shared" si="49"/>
        <v>0</v>
      </c>
      <c r="BS25" s="76">
        <f t="shared" si="50"/>
        <v>0</v>
      </c>
      <c r="BT25" s="76">
        <f t="shared" si="51"/>
        <v>0</v>
      </c>
      <c r="BU25" s="76">
        <f t="shared" si="52"/>
        <v>0</v>
      </c>
      <c r="BV25" s="76">
        <f t="shared" si="53"/>
        <v>0</v>
      </c>
      <c r="BX25" s="55"/>
      <c r="BY25" s="55"/>
      <c r="BZ25" s="55"/>
      <c r="CA25" s="55"/>
      <c r="CB25" s="55"/>
      <c r="CC25" s="55"/>
      <c r="CD25" s="55"/>
      <c r="CE25" s="55"/>
      <c r="CF25" s="55"/>
      <c r="CG25" s="55"/>
      <c r="CH25" s="55"/>
      <c r="CI25" s="55"/>
      <c r="CJ25" s="55"/>
      <c r="CK25" s="55"/>
      <c r="CM25" s="64">
        <f>IF(OR(D25="R",AND(D25="S",$AL$5=1),AND(D25="X",$AL$5=1)),100,150)</f>
        <v>150</v>
      </c>
      <c r="CN25" s="292"/>
      <c r="CP25" s="265">
        <f>$C25</f>
        <v>0</v>
      </c>
      <c r="CQ25" s="266">
        <f t="shared" si="56"/>
        <v>0</v>
      </c>
      <c r="CR25" s="267" t="str">
        <f>IF(AND($D25="R",$E25=6,deleted&lt;&gt;"X"),$H25*$I25/1000*(PI()*dia^2/4)*0.00785,"")</f>
        <v/>
      </c>
      <c r="CS25" s="267" t="str">
        <f>IF(AND($D25="R",$E25=8,deleted&lt;&gt;"X"),$H25*$I25/1000*(PI()*dia^2/4)*0.00785,"")</f>
        <v/>
      </c>
      <c r="CT25" s="267" t="str">
        <f>IF(AND($D25="R",$E25=10,deleted&lt;&gt;"X"),$H25*$I25/1000*(PI()*dia^2/4)*0.00785,"")</f>
        <v/>
      </c>
      <c r="CU25" s="267" t="str">
        <f>IF(AND($D25="R",$E25=12,deleted&lt;&gt;"X"),$H25*$I25/1000*(PI()*dia^2/4)*0.00785,"")</f>
        <v/>
      </c>
      <c r="CV25" s="267" t="str">
        <f>IF(AND($D25="R",$E25=16,deleted&lt;&gt;"X"),$H25*$I25/1000*(PI()*dia^2/4)*0.00785,"")</f>
        <v/>
      </c>
      <c r="CW25" s="267" t="str">
        <f>IF(AND($D25="R",$E25=20,deleted&lt;&gt;"X"),$H25*$I25/1000*(PI()*dia^2/4)*0.00785,"")</f>
        <v/>
      </c>
      <c r="CX25" s="267" t="str">
        <f>IF(AND($D25="R",$E25=25,deleted&lt;&gt;"X"),$H25*$I25/1000*(PI()*dia^2/4)*0.00785,"")</f>
        <v/>
      </c>
      <c r="CY25" s="267" t="str">
        <f>IF(AND($D25="R",$E25=32,deleted&lt;&gt;"X"),$H25*$I25/1000*(PI()*dia^2/4)*0.00785,"")</f>
        <v/>
      </c>
      <c r="CZ25" s="267" t="str">
        <f>IF(AND($D25="R",$E25=40,deleted&lt;&gt;"X"),$H25*$I25/1000*(PI()*dia^2/4)*0.00785,"")</f>
        <v/>
      </c>
      <c r="DA25" s="267" t="str">
        <f>IF(AND($D25="R",$E25=50,deleted&lt;&gt;"X"),$H25*$I25/1000*(PI()*dia^2/4)*0.00785,"")</f>
        <v/>
      </c>
      <c r="DB25" s="267" t="str">
        <f>IF(AND($D25="T",$E25=6,deleted&lt;&gt;"X"),$H25*$I25/1000*(PI()*dia^2/4)*0.00785,"")</f>
        <v/>
      </c>
      <c r="DC25" s="267" t="str">
        <f>IF(AND($D25="T",$E25=8,deleted&lt;&gt;"X"),$H25*$I25/1000*(PI()*dia^2/4)*0.00785,"")</f>
        <v/>
      </c>
      <c r="DD25" s="267" t="str">
        <f>IF(AND($D25="T",$E25=10,deleted&lt;&gt;"X"),$H25*$I25/1000*(PI()*dia^2/4)*0.00785,"")</f>
        <v/>
      </c>
      <c r="DE25" s="267" t="str">
        <f>IF(AND($D25="T",$E25=12,deleted&lt;&gt;"X"),$H25*$I25/1000*(PI()*dia^2/4)*0.00785,"")</f>
        <v/>
      </c>
      <c r="DF25" s="267" t="str">
        <f>IF(AND($D25="T",$E25=16,deleted&lt;&gt;"X"),$H25*$I25/1000*(PI()*dia^2/4)*0.00785,"")</f>
        <v/>
      </c>
      <c r="DG25" s="267" t="str">
        <f>IF(AND($D25="T",$E25=20,deleted&lt;&gt;"X"),$H25*$I25/1000*(PI()*dia^2/4)*0.00785,"")</f>
        <v/>
      </c>
      <c r="DH25" s="267" t="str">
        <f>IF(AND($D25="T",$E25=25,deleted&lt;&gt;"X"),$H25*$I25/1000*(PI()*dia^2/4)*0.00785,"")</f>
        <v/>
      </c>
      <c r="DI25" s="267" t="str">
        <f>IF(AND($D25="T",$E25=32,deleted&lt;&gt;"X"),$H25*$I25/1000*(PI()*dia^2/4)*0.00785,"")</f>
        <v/>
      </c>
      <c r="DJ25" s="267" t="str">
        <f>IF(AND($D25="T",$E25=40,deleted&lt;&gt;"X"),$H25*$I25/1000*(PI()*dia^2/4)*0.00785,"")</f>
        <v/>
      </c>
      <c r="DK25" s="267" t="str">
        <f>IF(AND($D25="T",$E25=50,deleted&lt;&gt;"X"),$H25*$I25/1000*(PI()*dia^2/4)*0.00785,"")</f>
        <v/>
      </c>
    </row>
    <row r="26" spans="2:115" s="54" customFormat="1" ht="27" customHeight="1">
      <c r="B26" s="14"/>
      <c r="C26" s="198"/>
      <c r="D26" s="196"/>
      <c r="E26" s="197"/>
      <c r="F26" s="198"/>
      <c r="G26" s="198"/>
      <c r="H26" s="199">
        <f>$F26*$G26</f>
        <v>0</v>
      </c>
      <c r="I26" s="200" t="str">
        <f t="shared" si="0"/>
        <v/>
      </c>
      <c r="J26" s="201"/>
      <c r="K26" s="198"/>
      <c r="L26" s="198"/>
      <c r="M26" s="198"/>
      <c r="N26" s="198"/>
      <c r="O26" s="198"/>
      <c r="P26" s="23"/>
      <c r="Q26" s="51" t="e">
        <f t="shared" si="1"/>
        <v>#N/A</v>
      </c>
      <c r="R26" s="40"/>
      <c r="S26" s="67" t="e">
        <f t="shared" si="8"/>
        <v>#N/A</v>
      </c>
      <c r="T26" s="67" t="e">
        <f t="shared" si="9"/>
        <v>#N/A</v>
      </c>
      <c r="U26" s="67" t="b">
        <f t="shared" si="2"/>
        <v>0</v>
      </c>
      <c r="V26" s="67" t="e">
        <f>OR(AND(VLOOKUP($J26,table,6,FALSE)=4,$N26&lt;2*$E26,$N26&lt;&gt;""),AND(VLOOKUP($J26,table,7,FALSE)=4,$O26&lt;2*$E26,$O26&lt;&gt;""))</f>
        <v>#N/A</v>
      </c>
      <c r="W26" s="67" t="b">
        <f t="shared" si="11"/>
        <v>0</v>
      </c>
      <c r="X26" s="67" t="b">
        <f t="shared" si="12"/>
        <v>0</v>
      </c>
      <c r="Y26" s="67" t="b">
        <f t="shared" si="13"/>
        <v>0</v>
      </c>
      <c r="Z26" s="67" t="b">
        <f t="shared" si="14"/>
        <v>0</v>
      </c>
      <c r="AA26" s="67" t="b">
        <f t="shared" si="15"/>
        <v>0</v>
      </c>
      <c r="AB26" s="67" t="b">
        <f t="shared" si="16"/>
        <v>0</v>
      </c>
      <c r="AC26" s="52"/>
      <c r="AD26" s="67" t="str">
        <f t="shared" si="17"/>
        <v/>
      </c>
      <c r="AE26" s="52"/>
      <c r="AF26" s="64">
        <f>E26</f>
        <v>0</v>
      </c>
      <c r="AG26" s="64">
        <f t="shared" si="18"/>
        <v>0</v>
      </c>
      <c r="AH26" s="64">
        <f t="shared" si="19"/>
        <v>0</v>
      </c>
      <c r="AI26" s="64">
        <f t="shared" si="20"/>
        <v>0</v>
      </c>
      <c r="AJ26" s="64"/>
      <c r="AK26" s="64">
        <f t="shared" si="21"/>
        <v>0</v>
      </c>
      <c r="AL26" s="64">
        <f t="shared" si="22"/>
        <v>0</v>
      </c>
      <c r="AM26" s="64">
        <f t="shared" si="23"/>
        <v>0</v>
      </c>
      <c r="AN26" s="53"/>
      <c r="AO26" s="329">
        <f>IF(OR(D26="R",AND(D26="S",$AL$5=1),AND(D26="X",$AL$5=1)),AG26,AK26)</f>
        <v>0</v>
      </c>
      <c r="AP26" s="329">
        <f>IF(OR(D26="R",AND(D26="S",$AL$5=1),AND(D26="X",$AL$5=1)),AH26,AL26)</f>
        <v>0</v>
      </c>
      <c r="AQ26" s="329">
        <f>IF(OR(D26="R",AND(D26="S",$AL$5=1),AND(D26="X",$AL$5=1)),AI26,AM26)</f>
        <v>0</v>
      </c>
      <c r="AR26" s="329">
        <f t="shared" si="24"/>
        <v>0</v>
      </c>
      <c r="AS26" s="329">
        <f t="shared" si="25"/>
        <v>0</v>
      </c>
      <c r="AU26" s="74">
        <f t="shared" si="26"/>
        <v>0</v>
      </c>
      <c r="AV26" s="74">
        <f t="shared" si="27"/>
        <v>0</v>
      </c>
      <c r="AW26" s="74">
        <f t="shared" si="28"/>
        <v>0</v>
      </c>
      <c r="AX26" s="74">
        <f t="shared" si="29"/>
        <v>0</v>
      </c>
      <c r="AY26" s="74">
        <f t="shared" si="30"/>
        <v>0</v>
      </c>
      <c r="AZ26" s="74">
        <f t="shared" si="31"/>
        <v>0</v>
      </c>
      <c r="BA26" s="74">
        <f t="shared" si="32"/>
        <v>0</v>
      </c>
      <c r="BB26" s="74">
        <f t="shared" si="33"/>
        <v>0</v>
      </c>
      <c r="BC26" s="74">
        <f t="shared" si="34"/>
        <v>0</v>
      </c>
      <c r="BD26" s="74">
        <f t="shared" si="35"/>
        <v>0</v>
      </c>
      <c r="BE26" s="74">
        <f t="shared" si="36"/>
        <v>0</v>
      </c>
      <c r="BF26" s="74">
        <f t="shared" si="37"/>
        <v>0</v>
      </c>
      <c r="BG26" s="74">
        <f t="shared" si="38"/>
        <v>0</v>
      </c>
      <c r="BH26" s="74">
        <f t="shared" si="39"/>
        <v>0</v>
      </c>
      <c r="BI26" s="74">
        <f t="shared" si="40"/>
        <v>0</v>
      </c>
      <c r="BJ26" s="74">
        <f t="shared" si="41"/>
        <v>0</v>
      </c>
      <c r="BK26" s="74">
        <f t="shared" si="42"/>
        <v>0</v>
      </c>
      <c r="BL26" s="76">
        <f t="shared" si="43"/>
        <v>0</v>
      </c>
      <c r="BM26" s="76">
        <f t="shared" si="44"/>
        <v>0</v>
      </c>
      <c r="BN26" s="76">
        <f t="shared" si="45"/>
        <v>0</v>
      </c>
      <c r="BO26" s="76">
        <f t="shared" si="46"/>
        <v>0</v>
      </c>
      <c r="BP26" s="76">
        <f t="shared" si="47"/>
        <v>0</v>
      </c>
      <c r="BQ26" s="76">
        <f t="shared" si="48"/>
        <v>0</v>
      </c>
      <c r="BR26" s="76">
        <f t="shared" si="49"/>
        <v>0</v>
      </c>
      <c r="BS26" s="76">
        <f t="shared" si="50"/>
        <v>0</v>
      </c>
      <c r="BT26" s="76">
        <f t="shared" si="51"/>
        <v>0</v>
      </c>
      <c r="BU26" s="76">
        <f t="shared" si="52"/>
        <v>0</v>
      </c>
      <c r="BV26" s="76">
        <f t="shared" si="53"/>
        <v>0</v>
      </c>
      <c r="BX26" s="55"/>
      <c r="BY26" s="55"/>
      <c r="BZ26" s="55"/>
      <c r="CA26" s="55"/>
      <c r="CB26" s="55"/>
      <c r="CC26" s="55"/>
      <c r="CD26" s="55"/>
      <c r="CE26" s="55"/>
      <c r="CF26" s="55"/>
      <c r="CG26" s="55"/>
      <c r="CH26" s="55"/>
      <c r="CI26" s="55"/>
      <c r="CJ26" s="55"/>
      <c r="CK26" s="55"/>
      <c r="CM26" s="64">
        <f>IF(OR(D26="R",AND(D26="S",$AL$5=1),AND(D26="X",$AL$5=1)),100,150)</f>
        <v>150</v>
      </c>
      <c r="CN26" s="292"/>
      <c r="CP26" s="265">
        <f>$C26</f>
        <v>0</v>
      </c>
      <c r="CQ26" s="266">
        <f t="shared" si="56"/>
        <v>0</v>
      </c>
      <c r="CR26" s="267" t="str">
        <f>IF(AND($D26="R",$E26=6,deleted&lt;&gt;"X"),$H26*$I26/1000*(PI()*dia^2/4)*0.00785,"")</f>
        <v/>
      </c>
      <c r="CS26" s="267" t="str">
        <f>IF(AND($D26="R",$E26=8,deleted&lt;&gt;"X"),$H26*$I26/1000*(PI()*dia^2/4)*0.00785,"")</f>
        <v/>
      </c>
      <c r="CT26" s="267" t="str">
        <f>IF(AND($D26="R",$E26=10,deleted&lt;&gt;"X"),$H26*$I26/1000*(PI()*dia^2/4)*0.00785,"")</f>
        <v/>
      </c>
      <c r="CU26" s="267" t="str">
        <f>IF(AND($D26="R",$E26=12,deleted&lt;&gt;"X"),$H26*$I26/1000*(PI()*dia^2/4)*0.00785,"")</f>
        <v/>
      </c>
      <c r="CV26" s="267" t="str">
        <f>IF(AND($D26="R",$E26=16,deleted&lt;&gt;"X"),$H26*$I26/1000*(PI()*dia^2/4)*0.00785,"")</f>
        <v/>
      </c>
      <c r="CW26" s="267" t="str">
        <f>IF(AND($D26="R",$E26=20,deleted&lt;&gt;"X"),$H26*$I26/1000*(PI()*dia^2/4)*0.00785,"")</f>
        <v/>
      </c>
      <c r="CX26" s="267" t="str">
        <f>IF(AND($D26="R",$E26=25,deleted&lt;&gt;"X"),$H26*$I26/1000*(PI()*dia^2/4)*0.00785,"")</f>
        <v/>
      </c>
      <c r="CY26" s="267" t="str">
        <f>IF(AND($D26="R",$E26=32,deleted&lt;&gt;"X"),$H26*$I26/1000*(PI()*dia^2/4)*0.00785,"")</f>
        <v/>
      </c>
      <c r="CZ26" s="267" t="str">
        <f>IF(AND($D26="R",$E26=40,deleted&lt;&gt;"X"),$H26*$I26/1000*(PI()*dia^2/4)*0.00785,"")</f>
        <v/>
      </c>
      <c r="DA26" s="267" t="str">
        <f>IF(AND($D26="R",$E26=50,deleted&lt;&gt;"X"),$H26*$I26/1000*(PI()*dia^2/4)*0.00785,"")</f>
        <v/>
      </c>
      <c r="DB26" s="267" t="str">
        <f>IF(AND($D26="T",$E26=6,deleted&lt;&gt;"X"),$H26*$I26/1000*(PI()*dia^2/4)*0.00785,"")</f>
        <v/>
      </c>
      <c r="DC26" s="267" t="str">
        <f>IF(AND($D26="T",$E26=8,deleted&lt;&gt;"X"),$H26*$I26/1000*(PI()*dia^2/4)*0.00785,"")</f>
        <v/>
      </c>
      <c r="DD26" s="267" t="str">
        <f>IF(AND($D26="T",$E26=10,deleted&lt;&gt;"X"),$H26*$I26/1000*(PI()*dia^2/4)*0.00785,"")</f>
        <v/>
      </c>
      <c r="DE26" s="267" t="str">
        <f>IF(AND($D26="T",$E26=12,deleted&lt;&gt;"X"),$H26*$I26/1000*(PI()*dia^2/4)*0.00785,"")</f>
        <v/>
      </c>
      <c r="DF26" s="267" t="str">
        <f>IF(AND($D26="T",$E26=16,deleted&lt;&gt;"X"),$H26*$I26/1000*(PI()*dia^2/4)*0.00785,"")</f>
        <v/>
      </c>
      <c r="DG26" s="267" t="str">
        <f>IF(AND($D26="T",$E26=20,deleted&lt;&gt;"X"),$H26*$I26/1000*(PI()*dia^2/4)*0.00785,"")</f>
        <v/>
      </c>
      <c r="DH26" s="267" t="str">
        <f>IF(AND($D26="T",$E26=25,deleted&lt;&gt;"X"),$H26*$I26/1000*(PI()*dia^2/4)*0.00785,"")</f>
        <v/>
      </c>
      <c r="DI26" s="267" t="str">
        <f>IF(AND($D26="T",$E26=32,deleted&lt;&gt;"X"),$H26*$I26/1000*(PI()*dia^2/4)*0.00785,"")</f>
        <v/>
      </c>
      <c r="DJ26" s="267" t="str">
        <f>IF(AND($D26="T",$E26=40,deleted&lt;&gt;"X"),$H26*$I26/1000*(PI()*dia^2/4)*0.00785,"")</f>
        <v/>
      </c>
      <c r="DK26" s="267" t="str">
        <f>IF(AND($D26="T",$E26=50,deleted&lt;&gt;"X"),$H26*$I26/1000*(PI()*dia^2/4)*0.00785,"")</f>
        <v/>
      </c>
    </row>
    <row r="27" spans="2:115" s="54" customFormat="1" ht="27" customHeight="1">
      <c r="B27" s="14" t="s">
        <v>377</v>
      </c>
      <c r="C27" s="198">
        <v>14</v>
      </c>
      <c r="D27" s="196" t="s">
        <v>373</v>
      </c>
      <c r="E27" s="197">
        <v>10</v>
      </c>
      <c r="F27" s="198">
        <v>2</v>
      </c>
      <c r="G27" s="198">
        <v>2</v>
      </c>
      <c r="H27" s="199">
        <f t="shared" si="7"/>
        <v>4</v>
      </c>
      <c r="I27" s="200">
        <f t="shared" si="0"/>
        <v>8350</v>
      </c>
      <c r="J27" s="201">
        <v>38</v>
      </c>
      <c r="K27" s="198">
        <v>200</v>
      </c>
      <c r="L27" s="198">
        <v>8000</v>
      </c>
      <c r="M27" s="198">
        <v>200</v>
      </c>
      <c r="N27" s="198"/>
      <c r="O27" s="198"/>
      <c r="P27" s="23"/>
      <c r="Q27" s="51" t="e">
        <f t="shared" si="1"/>
        <v>#N/A</v>
      </c>
      <c r="R27" s="40"/>
      <c r="S27" s="67" t="b">
        <f t="shared" si="8"/>
        <v>0</v>
      </c>
      <c r="T27" s="67" t="b">
        <f t="shared" si="9"/>
        <v>0</v>
      </c>
      <c r="U27" s="67" t="b">
        <f t="shared" si="2"/>
        <v>0</v>
      </c>
      <c r="V27" s="67" t="b">
        <f t="shared" si="10"/>
        <v>0</v>
      </c>
      <c r="W27" s="67" t="b">
        <f t="shared" si="11"/>
        <v>0</v>
      </c>
      <c r="X27" s="67" t="b">
        <f t="shared" si="12"/>
        <v>0</v>
      </c>
      <c r="Y27" s="67" t="b">
        <f t="shared" si="13"/>
        <v>0</v>
      </c>
      <c r="Z27" s="67" t="b">
        <f t="shared" si="14"/>
        <v>0</v>
      </c>
      <c r="AA27" s="67" t="b">
        <f t="shared" si="15"/>
        <v>0</v>
      </c>
      <c r="AB27" s="67" t="b">
        <f t="shared" si="16"/>
        <v>0</v>
      </c>
      <c r="AC27" s="52"/>
      <c r="AD27" s="67" t="str">
        <f t="shared" si="17"/>
        <v/>
      </c>
      <c r="AE27" s="52"/>
      <c r="AF27" s="64">
        <f t="shared" si="3"/>
        <v>10</v>
      </c>
      <c r="AG27" s="64">
        <f t="shared" si="18"/>
        <v>20</v>
      </c>
      <c r="AH27" s="64">
        <f t="shared" si="19"/>
        <v>100</v>
      </c>
      <c r="AI27" s="64">
        <f t="shared" si="20"/>
        <v>100</v>
      </c>
      <c r="AJ27" s="64"/>
      <c r="AK27" s="64">
        <f t="shared" si="21"/>
        <v>30</v>
      </c>
      <c r="AL27" s="64">
        <f t="shared" si="22"/>
        <v>100</v>
      </c>
      <c r="AM27" s="64">
        <f t="shared" si="23"/>
        <v>110</v>
      </c>
      <c r="AN27" s="53"/>
      <c r="AO27" s="329">
        <f t="shared" si="4"/>
        <v>30</v>
      </c>
      <c r="AP27" s="329">
        <f t="shared" si="5"/>
        <v>100</v>
      </c>
      <c r="AQ27" s="329">
        <f t="shared" si="6"/>
        <v>110</v>
      </c>
      <c r="AR27" s="329">
        <f t="shared" si="24"/>
        <v>125</v>
      </c>
      <c r="AS27" s="329">
        <f t="shared" si="25"/>
        <v>120</v>
      </c>
      <c r="AU27" s="74">
        <f t="shared" si="26"/>
        <v>200</v>
      </c>
      <c r="AV27" s="74">
        <f t="shared" si="27"/>
        <v>310</v>
      </c>
      <c r="AW27" s="74">
        <f t="shared" si="28"/>
        <v>420</v>
      </c>
      <c r="AX27" s="74">
        <f t="shared" si="29"/>
        <v>300</v>
      </c>
      <c r="AY27" s="74">
        <f t="shared" si="30"/>
        <v>400</v>
      </c>
      <c r="AZ27" s="74">
        <f t="shared" si="31"/>
        <v>8175</v>
      </c>
      <c r="BA27" s="74">
        <f t="shared" si="32"/>
        <v>8350</v>
      </c>
      <c r="BB27" s="74">
        <f t="shared" si="33"/>
        <v>8400</v>
      </c>
      <c r="BC27" s="74">
        <f t="shared" si="34"/>
        <v>16400</v>
      </c>
      <c r="BD27" s="74">
        <f t="shared" si="35"/>
        <v>8190</v>
      </c>
      <c r="BE27" s="74">
        <f t="shared" si="36"/>
        <v>16520</v>
      </c>
      <c r="BF27" s="74">
        <f t="shared" si="37"/>
        <v>400</v>
      </c>
      <c r="BG27" s="74">
        <f t="shared" si="38"/>
        <v>24580</v>
      </c>
      <c r="BH27" s="74">
        <f t="shared" si="39"/>
        <v>4944.3</v>
      </c>
      <c r="BI27" s="74">
        <f t="shared" si="40"/>
        <v>8500</v>
      </c>
      <c r="BJ27" s="74">
        <f t="shared" si="41"/>
        <v>8375</v>
      </c>
      <c r="BK27" s="74">
        <f t="shared" si="42"/>
        <v>8400</v>
      </c>
      <c r="BL27" s="76">
        <f t="shared" si="43"/>
        <v>8325</v>
      </c>
      <c r="BM27" s="76">
        <f t="shared" si="44"/>
        <v>8300</v>
      </c>
      <c r="BN27" s="76">
        <f t="shared" si="45"/>
        <v>8350</v>
      </c>
      <c r="BO27" s="76">
        <f t="shared" si="46"/>
        <v>8300</v>
      </c>
      <c r="BP27" s="76">
        <f t="shared" si="47"/>
        <v>200</v>
      </c>
      <c r="BQ27" s="76">
        <f t="shared" si="48"/>
        <v>8600</v>
      </c>
      <c r="BR27" s="76">
        <f t="shared" si="49"/>
        <v>8630</v>
      </c>
      <c r="BS27" s="76">
        <f t="shared" si="50"/>
        <v>24500</v>
      </c>
      <c r="BT27" s="76">
        <f t="shared" si="51"/>
        <v>8273.2999999999993</v>
      </c>
      <c r="BU27" s="76">
        <f t="shared" si="52"/>
        <v>14.922565104551516</v>
      </c>
      <c r="BV27" s="76">
        <f t="shared" si="53"/>
        <v>200</v>
      </c>
      <c r="BX27" s="55"/>
      <c r="BY27" s="55"/>
      <c r="BZ27" s="55"/>
      <c r="CA27" s="55"/>
      <c r="CB27" s="55"/>
      <c r="CC27" s="55"/>
      <c r="CD27" s="55"/>
      <c r="CE27" s="55"/>
      <c r="CF27" s="55"/>
      <c r="CG27" s="55"/>
      <c r="CH27" s="55"/>
      <c r="CI27" s="55"/>
      <c r="CJ27" s="55"/>
      <c r="CK27" s="55"/>
      <c r="CM27" s="64">
        <f t="shared" si="54"/>
        <v>150</v>
      </c>
      <c r="CN27" s="292"/>
      <c r="CP27" s="265">
        <f t="shared" si="55"/>
        <v>14</v>
      </c>
      <c r="CQ27" s="266">
        <f t="shared" si="56"/>
        <v>38</v>
      </c>
      <c r="CR27" s="267" t="str">
        <f t="shared" si="57"/>
        <v/>
      </c>
      <c r="CS27" s="267" t="str">
        <f t="shared" si="58"/>
        <v/>
      </c>
      <c r="CT27" s="267" t="str">
        <f t="shared" si="59"/>
        <v/>
      </c>
      <c r="CU27" s="267" t="str">
        <f t="shared" si="60"/>
        <v/>
      </c>
      <c r="CV27" s="267" t="str">
        <f t="shared" si="61"/>
        <v/>
      </c>
      <c r="CW27" s="267" t="str">
        <f t="shared" si="62"/>
        <v/>
      </c>
      <c r="CX27" s="267" t="str">
        <f t="shared" si="63"/>
        <v/>
      </c>
      <c r="CY27" s="267" t="str">
        <f t="shared" si="64"/>
        <v/>
      </c>
      <c r="CZ27" s="267" t="str">
        <f t="shared" si="65"/>
        <v/>
      </c>
      <c r="DA27" s="267" t="str">
        <f t="shared" si="66"/>
        <v/>
      </c>
      <c r="DB27" s="267" t="str">
        <f t="shared" si="67"/>
        <v/>
      </c>
      <c r="DC27" s="267" t="str">
        <f t="shared" si="68"/>
        <v/>
      </c>
      <c r="DD27" s="267">
        <f t="shared" si="69"/>
        <v>20.592354446117692</v>
      </c>
      <c r="DE27" s="267" t="str">
        <f t="shared" si="70"/>
        <v/>
      </c>
      <c r="DF27" s="267" t="str">
        <f t="shared" si="71"/>
        <v/>
      </c>
      <c r="DG27" s="267" t="str">
        <f t="shared" si="72"/>
        <v/>
      </c>
      <c r="DH27" s="267" t="str">
        <f t="shared" si="73"/>
        <v/>
      </c>
      <c r="DI27" s="267" t="str">
        <f t="shared" si="74"/>
        <v/>
      </c>
      <c r="DJ27" s="267" t="str">
        <f t="shared" si="75"/>
        <v/>
      </c>
      <c r="DK27" s="267" t="str">
        <f t="shared" si="76"/>
        <v/>
      </c>
    </row>
    <row r="28" spans="2:115" s="54" customFormat="1" ht="27" customHeight="1">
      <c r="B28" s="14"/>
      <c r="C28" s="198">
        <v>15</v>
      </c>
      <c r="D28" s="196" t="s">
        <v>373</v>
      </c>
      <c r="E28" s="197">
        <v>8</v>
      </c>
      <c r="F28" s="198">
        <v>2</v>
      </c>
      <c r="G28" s="198">
        <v>55</v>
      </c>
      <c r="H28" s="199">
        <f t="shared" si="7"/>
        <v>110</v>
      </c>
      <c r="I28" s="200">
        <f t="shared" si="0"/>
        <v>1100</v>
      </c>
      <c r="J28" s="201">
        <v>61</v>
      </c>
      <c r="K28" s="202">
        <v>350</v>
      </c>
      <c r="L28" s="203">
        <v>150</v>
      </c>
      <c r="M28" s="198"/>
      <c r="N28" s="198"/>
      <c r="O28" s="198"/>
      <c r="P28" s="23"/>
      <c r="Q28" s="51" t="e">
        <f t="shared" si="1"/>
        <v>#N/A</v>
      </c>
      <c r="R28" s="40"/>
      <c r="S28" s="67" t="b">
        <f t="shared" si="8"/>
        <v>0</v>
      </c>
      <c r="T28" s="67" t="b">
        <f t="shared" si="9"/>
        <v>0</v>
      </c>
      <c r="U28" s="67" t="b">
        <f t="shared" si="2"/>
        <v>0</v>
      </c>
      <c r="V28" s="67" t="b">
        <f t="shared" si="10"/>
        <v>0</v>
      </c>
      <c r="W28" s="67" t="b">
        <f t="shared" si="11"/>
        <v>0</v>
      </c>
      <c r="X28" s="67" t="b">
        <f t="shared" si="12"/>
        <v>0</v>
      </c>
      <c r="Y28" s="67" t="b">
        <f t="shared" si="13"/>
        <v>0</v>
      </c>
      <c r="Z28" s="67" t="b">
        <f t="shared" si="14"/>
        <v>0</v>
      </c>
      <c r="AA28" s="67" t="b">
        <f t="shared" si="15"/>
        <v>0</v>
      </c>
      <c r="AB28" s="67" t="b">
        <f t="shared" si="16"/>
        <v>0</v>
      </c>
      <c r="AC28" s="52"/>
      <c r="AD28" s="67" t="str">
        <f t="shared" si="17"/>
        <v/>
      </c>
      <c r="AE28" s="52"/>
      <c r="AF28" s="64">
        <f t="shared" si="3"/>
        <v>8</v>
      </c>
      <c r="AG28" s="64">
        <f t="shared" si="18"/>
        <v>16</v>
      </c>
      <c r="AH28" s="64">
        <f t="shared" si="19"/>
        <v>100</v>
      </c>
      <c r="AI28" s="64">
        <f t="shared" si="20"/>
        <v>100</v>
      </c>
      <c r="AJ28" s="64"/>
      <c r="AK28" s="64">
        <f t="shared" si="21"/>
        <v>24</v>
      </c>
      <c r="AL28" s="64">
        <f t="shared" si="22"/>
        <v>100</v>
      </c>
      <c r="AM28" s="64">
        <f t="shared" si="23"/>
        <v>100</v>
      </c>
      <c r="AN28" s="53"/>
      <c r="AO28" s="329">
        <f t="shared" si="4"/>
        <v>24</v>
      </c>
      <c r="AP28" s="329">
        <f t="shared" si="5"/>
        <v>100</v>
      </c>
      <c r="AQ28" s="329">
        <f t="shared" si="6"/>
        <v>100</v>
      </c>
      <c r="AR28" s="329">
        <f t="shared" si="24"/>
        <v>120</v>
      </c>
      <c r="AS28" s="329">
        <f t="shared" si="25"/>
        <v>96</v>
      </c>
      <c r="AU28" s="74">
        <f t="shared" si="26"/>
        <v>350</v>
      </c>
      <c r="AV28" s="74">
        <f t="shared" si="27"/>
        <v>450</v>
      </c>
      <c r="AW28" s="74">
        <f t="shared" si="28"/>
        <v>550</v>
      </c>
      <c r="AX28" s="74">
        <f t="shared" si="29"/>
        <v>450</v>
      </c>
      <c r="AY28" s="74">
        <f t="shared" si="30"/>
        <v>550</v>
      </c>
      <c r="AZ28" s="74">
        <f t="shared" si="31"/>
        <v>480</v>
      </c>
      <c r="BA28" s="74">
        <f t="shared" si="32"/>
        <v>460</v>
      </c>
      <c r="BB28" s="74">
        <f t="shared" si="33"/>
        <v>500</v>
      </c>
      <c r="BC28" s="74">
        <f t="shared" si="34"/>
        <v>650</v>
      </c>
      <c r="BD28" s="74">
        <f t="shared" si="35"/>
        <v>492</v>
      </c>
      <c r="BE28" s="74">
        <f t="shared" si="36"/>
        <v>1096</v>
      </c>
      <c r="BF28" s="74">
        <f t="shared" si="37"/>
        <v>350</v>
      </c>
      <c r="BG28" s="74">
        <f t="shared" si="38"/>
        <v>1294</v>
      </c>
      <c r="BH28" s="74">
        <f t="shared" si="39"/>
        <v>422.94</v>
      </c>
      <c r="BI28" s="74">
        <f t="shared" si="40"/>
        <v>600</v>
      </c>
      <c r="BJ28" s="74">
        <f t="shared" si="41"/>
        <v>480</v>
      </c>
      <c r="BK28" s="74">
        <f t="shared" si="42"/>
        <v>500</v>
      </c>
      <c r="BL28" s="76">
        <f t="shared" si="43"/>
        <v>440</v>
      </c>
      <c r="BM28" s="76">
        <f t="shared" si="44"/>
        <v>420</v>
      </c>
      <c r="BN28" s="76">
        <f t="shared" si="45"/>
        <v>460</v>
      </c>
      <c r="BO28" s="76">
        <f t="shared" si="46"/>
        <v>420</v>
      </c>
      <c r="BP28" s="76">
        <f t="shared" si="47"/>
        <v>350</v>
      </c>
      <c r="BQ28" s="76">
        <f t="shared" si="48"/>
        <v>1010</v>
      </c>
      <c r="BR28" s="76">
        <f t="shared" si="49"/>
        <v>874</v>
      </c>
      <c r="BS28" s="76">
        <f t="shared" si="50"/>
        <v>1230</v>
      </c>
      <c r="BT28" s="76">
        <f t="shared" si="51"/>
        <v>467.44</v>
      </c>
      <c r="BU28" s="76">
        <f t="shared" si="52"/>
        <v>0</v>
      </c>
      <c r="BV28" s="76">
        <f t="shared" si="53"/>
        <v>350</v>
      </c>
      <c r="BX28" s="55"/>
      <c r="BY28" s="55"/>
      <c r="BZ28" s="55"/>
      <c r="CA28" s="55"/>
      <c r="CB28" s="55"/>
      <c r="CC28" s="55"/>
      <c r="CD28" s="55"/>
      <c r="CE28" s="55"/>
      <c r="CF28" s="55"/>
      <c r="CG28" s="55"/>
      <c r="CH28" s="55"/>
      <c r="CI28" s="55"/>
      <c r="CJ28" s="55"/>
      <c r="CK28" s="55"/>
      <c r="CM28" s="64">
        <f t="shared" si="54"/>
        <v>150</v>
      </c>
      <c r="CN28" s="292"/>
      <c r="CP28" s="265">
        <f t="shared" si="55"/>
        <v>15</v>
      </c>
      <c r="CQ28" s="266">
        <f t="shared" si="56"/>
        <v>61</v>
      </c>
      <c r="CR28" s="267" t="str">
        <f t="shared" si="57"/>
        <v/>
      </c>
      <c r="CS28" s="267" t="str">
        <f t="shared" si="58"/>
        <v/>
      </c>
      <c r="CT28" s="267" t="str">
        <f t="shared" si="59"/>
        <v/>
      </c>
      <c r="CU28" s="267" t="str">
        <f t="shared" si="60"/>
        <v/>
      </c>
      <c r="CV28" s="267" t="str">
        <f t="shared" si="61"/>
        <v/>
      </c>
      <c r="CW28" s="267" t="str">
        <f t="shared" si="62"/>
        <v/>
      </c>
      <c r="CX28" s="267" t="str">
        <f t="shared" si="63"/>
        <v/>
      </c>
      <c r="CY28" s="267" t="str">
        <f t="shared" si="64"/>
        <v/>
      </c>
      <c r="CZ28" s="267" t="str">
        <f t="shared" si="65"/>
        <v/>
      </c>
      <c r="DA28" s="267" t="str">
        <f t="shared" si="66"/>
        <v/>
      </c>
      <c r="DB28" s="267" t="str">
        <f t="shared" si="67"/>
        <v/>
      </c>
      <c r="DC28" s="267">
        <f t="shared" si="68"/>
        <v>47.744668512196235</v>
      </c>
      <c r="DD28" s="267" t="str">
        <f t="shared" si="69"/>
        <v/>
      </c>
      <c r="DE28" s="267" t="str">
        <f t="shared" si="70"/>
        <v/>
      </c>
      <c r="DF28" s="267" t="str">
        <f t="shared" si="71"/>
        <v/>
      </c>
      <c r="DG28" s="267" t="str">
        <f t="shared" si="72"/>
        <v/>
      </c>
      <c r="DH28" s="267" t="str">
        <f t="shared" si="73"/>
        <v/>
      </c>
      <c r="DI28" s="267" t="str">
        <f t="shared" si="74"/>
        <v/>
      </c>
      <c r="DJ28" s="267" t="str">
        <f t="shared" si="75"/>
        <v/>
      </c>
      <c r="DK28" s="267" t="str">
        <f t="shared" si="76"/>
        <v/>
      </c>
    </row>
    <row r="29" spans="2:115" s="54" customFormat="1" ht="27" customHeight="1">
      <c r="B29" s="14" t="s">
        <v>378</v>
      </c>
      <c r="C29" s="198">
        <v>16</v>
      </c>
      <c r="D29" s="196" t="s">
        <v>373</v>
      </c>
      <c r="E29" s="197">
        <v>10</v>
      </c>
      <c r="F29" s="198">
        <v>3</v>
      </c>
      <c r="G29" s="198">
        <v>3</v>
      </c>
      <c r="H29" s="199">
        <f t="shared" si="7"/>
        <v>9</v>
      </c>
      <c r="I29" s="200">
        <f t="shared" si="0"/>
        <v>3900</v>
      </c>
      <c r="J29" s="201">
        <v>38</v>
      </c>
      <c r="K29" s="202">
        <v>200</v>
      </c>
      <c r="L29" s="203">
        <v>3550</v>
      </c>
      <c r="M29" s="198">
        <v>200</v>
      </c>
      <c r="N29" s="198"/>
      <c r="O29" s="198"/>
      <c r="P29" s="23"/>
      <c r="Q29" s="51" t="e">
        <f t="shared" si="1"/>
        <v>#N/A</v>
      </c>
      <c r="R29" s="40"/>
      <c r="S29" s="67" t="b">
        <f t="shared" si="8"/>
        <v>0</v>
      </c>
      <c r="T29" s="67" t="b">
        <f t="shared" si="9"/>
        <v>0</v>
      </c>
      <c r="U29" s="67" t="b">
        <f t="shared" si="2"/>
        <v>0</v>
      </c>
      <c r="V29" s="67" t="b">
        <f t="shared" si="10"/>
        <v>0</v>
      </c>
      <c r="W29" s="67" t="b">
        <f t="shared" si="11"/>
        <v>0</v>
      </c>
      <c r="X29" s="67" t="b">
        <f t="shared" si="12"/>
        <v>0</v>
      </c>
      <c r="Y29" s="67" t="b">
        <f t="shared" si="13"/>
        <v>0</v>
      </c>
      <c r="Z29" s="67" t="b">
        <f t="shared" si="14"/>
        <v>0</v>
      </c>
      <c r="AA29" s="67" t="b">
        <f t="shared" si="15"/>
        <v>0</v>
      </c>
      <c r="AB29" s="67" t="b">
        <f t="shared" si="16"/>
        <v>0</v>
      </c>
      <c r="AC29" s="52"/>
      <c r="AD29" s="67" t="str">
        <f t="shared" si="17"/>
        <v/>
      </c>
      <c r="AE29" s="52"/>
      <c r="AF29" s="64">
        <f t="shared" si="3"/>
        <v>10</v>
      </c>
      <c r="AG29" s="64">
        <f t="shared" si="18"/>
        <v>20</v>
      </c>
      <c r="AH29" s="64">
        <f t="shared" si="19"/>
        <v>100</v>
      </c>
      <c r="AI29" s="64">
        <f t="shared" si="20"/>
        <v>100</v>
      </c>
      <c r="AJ29" s="64"/>
      <c r="AK29" s="64">
        <f t="shared" si="21"/>
        <v>30</v>
      </c>
      <c r="AL29" s="64">
        <f t="shared" si="22"/>
        <v>100</v>
      </c>
      <c r="AM29" s="64">
        <f t="shared" si="23"/>
        <v>110</v>
      </c>
      <c r="AN29" s="53"/>
      <c r="AO29" s="329">
        <f t="shared" si="4"/>
        <v>30</v>
      </c>
      <c r="AP29" s="329">
        <f t="shared" si="5"/>
        <v>100</v>
      </c>
      <c r="AQ29" s="329">
        <f t="shared" si="6"/>
        <v>110</v>
      </c>
      <c r="AR29" s="329">
        <f t="shared" si="24"/>
        <v>125</v>
      </c>
      <c r="AS29" s="329">
        <f t="shared" si="25"/>
        <v>120</v>
      </c>
      <c r="AU29" s="74">
        <f t="shared" si="26"/>
        <v>200</v>
      </c>
      <c r="AV29" s="74">
        <f t="shared" si="27"/>
        <v>310</v>
      </c>
      <c r="AW29" s="74">
        <f t="shared" si="28"/>
        <v>420</v>
      </c>
      <c r="AX29" s="74">
        <f t="shared" si="29"/>
        <v>300</v>
      </c>
      <c r="AY29" s="74">
        <f t="shared" si="30"/>
        <v>400</v>
      </c>
      <c r="AZ29" s="74">
        <f t="shared" si="31"/>
        <v>3725</v>
      </c>
      <c r="BA29" s="74">
        <f t="shared" si="32"/>
        <v>3900</v>
      </c>
      <c r="BB29" s="74">
        <f t="shared" si="33"/>
        <v>3950</v>
      </c>
      <c r="BC29" s="74">
        <f t="shared" si="34"/>
        <v>7500</v>
      </c>
      <c r="BD29" s="74">
        <f t="shared" si="35"/>
        <v>3740</v>
      </c>
      <c r="BE29" s="74">
        <f t="shared" si="36"/>
        <v>7620</v>
      </c>
      <c r="BF29" s="74">
        <f t="shared" si="37"/>
        <v>400</v>
      </c>
      <c r="BG29" s="74">
        <f t="shared" si="38"/>
        <v>11230</v>
      </c>
      <c r="BH29" s="74">
        <f t="shared" si="39"/>
        <v>2407.8000000000002</v>
      </c>
      <c r="BI29" s="74">
        <f t="shared" si="40"/>
        <v>4050</v>
      </c>
      <c r="BJ29" s="74">
        <f t="shared" si="41"/>
        <v>3925</v>
      </c>
      <c r="BK29" s="74">
        <f t="shared" si="42"/>
        <v>3950</v>
      </c>
      <c r="BL29" s="76">
        <f t="shared" si="43"/>
        <v>3875</v>
      </c>
      <c r="BM29" s="76">
        <f t="shared" si="44"/>
        <v>3850</v>
      </c>
      <c r="BN29" s="76">
        <f t="shared" si="45"/>
        <v>3900</v>
      </c>
      <c r="BO29" s="76">
        <f t="shared" si="46"/>
        <v>3850</v>
      </c>
      <c r="BP29" s="76">
        <f t="shared" si="47"/>
        <v>200</v>
      </c>
      <c r="BQ29" s="76">
        <f t="shared" si="48"/>
        <v>4150</v>
      </c>
      <c r="BR29" s="76">
        <f t="shared" si="49"/>
        <v>4180</v>
      </c>
      <c r="BS29" s="76">
        <f t="shared" si="50"/>
        <v>11150</v>
      </c>
      <c r="BT29" s="76">
        <f t="shared" si="51"/>
        <v>3823.3</v>
      </c>
      <c r="BU29" s="76">
        <f t="shared" si="52"/>
        <v>33.628315728566797</v>
      </c>
      <c r="BV29" s="76">
        <f t="shared" si="53"/>
        <v>200</v>
      </c>
      <c r="BX29" s="55"/>
      <c r="BY29" s="55"/>
      <c r="BZ29" s="55"/>
      <c r="CA29" s="55"/>
      <c r="CB29" s="55"/>
      <c r="CC29" s="55"/>
      <c r="CD29" s="55"/>
      <c r="CE29" s="55"/>
      <c r="CF29" s="55"/>
      <c r="CG29" s="55"/>
      <c r="CH29" s="55"/>
      <c r="CI29" s="55"/>
      <c r="CJ29" s="55"/>
      <c r="CK29" s="55"/>
      <c r="CM29" s="64">
        <f t="shared" si="54"/>
        <v>150</v>
      </c>
      <c r="CN29" s="292"/>
      <c r="CP29" s="265">
        <f t="shared" si="55"/>
        <v>16</v>
      </c>
      <c r="CQ29" s="266">
        <f t="shared" si="56"/>
        <v>38</v>
      </c>
      <c r="CR29" s="267" t="str">
        <f t="shared" si="57"/>
        <v/>
      </c>
      <c r="CS29" s="267" t="str">
        <f t="shared" si="58"/>
        <v/>
      </c>
      <c r="CT29" s="267" t="str">
        <f t="shared" si="59"/>
        <v/>
      </c>
      <c r="CU29" s="267" t="str">
        <f t="shared" si="60"/>
        <v/>
      </c>
      <c r="CV29" s="267" t="str">
        <f t="shared" si="61"/>
        <v/>
      </c>
      <c r="CW29" s="267" t="str">
        <f t="shared" si="62"/>
        <v/>
      </c>
      <c r="CX29" s="267" t="str">
        <f t="shared" si="63"/>
        <v/>
      </c>
      <c r="CY29" s="267" t="str">
        <f t="shared" si="64"/>
        <v/>
      </c>
      <c r="CZ29" s="267" t="str">
        <f t="shared" si="65"/>
        <v/>
      </c>
      <c r="DA29" s="267" t="str">
        <f t="shared" si="66"/>
        <v/>
      </c>
      <c r="DB29" s="267" t="str">
        <f t="shared" si="67"/>
        <v/>
      </c>
      <c r="DC29" s="267" t="str">
        <f t="shared" si="68"/>
        <v/>
      </c>
      <c r="DD29" s="267">
        <f t="shared" si="69"/>
        <v>21.640468295171591</v>
      </c>
      <c r="DE29" s="267" t="str">
        <f t="shared" si="70"/>
        <v/>
      </c>
      <c r="DF29" s="267" t="str">
        <f t="shared" si="71"/>
        <v/>
      </c>
      <c r="DG29" s="267" t="str">
        <f t="shared" si="72"/>
        <v/>
      </c>
      <c r="DH29" s="267" t="str">
        <f t="shared" si="73"/>
        <v/>
      </c>
      <c r="DI29" s="267" t="str">
        <f t="shared" si="74"/>
        <v/>
      </c>
      <c r="DJ29" s="267" t="str">
        <f t="shared" si="75"/>
        <v/>
      </c>
      <c r="DK29" s="267" t="str">
        <f t="shared" si="76"/>
        <v/>
      </c>
    </row>
    <row r="30" spans="2:115" s="54" customFormat="1" ht="27" customHeight="1">
      <c r="B30" s="14"/>
      <c r="C30" s="198">
        <v>17</v>
      </c>
      <c r="D30" s="196" t="s">
        <v>373</v>
      </c>
      <c r="E30" s="197">
        <v>8</v>
      </c>
      <c r="F30" s="198">
        <v>3</v>
      </c>
      <c r="G30" s="198">
        <v>26</v>
      </c>
      <c r="H30" s="199">
        <f t="shared" si="7"/>
        <v>78</v>
      </c>
      <c r="I30" s="200">
        <f t="shared" si="0"/>
        <v>1100</v>
      </c>
      <c r="J30" s="201">
        <v>61</v>
      </c>
      <c r="K30" s="202">
        <v>350</v>
      </c>
      <c r="L30" s="203">
        <v>150</v>
      </c>
      <c r="M30" s="198"/>
      <c r="N30" s="198"/>
      <c r="O30" s="198"/>
      <c r="P30" s="23"/>
      <c r="Q30" s="51" t="e">
        <f t="shared" si="1"/>
        <v>#N/A</v>
      </c>
      <c r="R30" s="40"/>
      <c r="S30" s="67" t="b">
        <f t="shared" si="8"/>
        <v>0</v>
      </c>
      <c r="T30" s="67" t="b">
        <f t="shared" si="9"/>
        <v>0</v>
      </c>
      <c r="U30" s="67" t="b">
        <f t="shared" si="2"/>
        <v>0</v>
      </c>
      <c r="V30" s="67" t="b">
        <f t="shared" si="10"/>
        <v>0</v>
      </c>
      <c r="W30" s="67" t="b">
        <f t="shared" si="11"/>
        <v>0</v>
      </c>
      <c r="X30" s="67" t="b">
        <f t="shared" si="12"/>
        <v>0</v>
      </c>
      <c r="Y30" s="67" t="b">
        <f t="shared" si="13"/>
        <v>0</v>
      </c>
      <c r="Z30" s="67" t="b">
        <f t="shared" si="14"/>
        <v>0</v>
      </c>
      <c r="AA30" s="67" t="b">
        <f t="shared" si="15"/>
        <v>0</v>
      </c>
      <c r="AB30" s="67" t="b">
        <f t="shared" si="16"/>
        <v>0</v>
      </c>
      <c r="AC30" s="52"/>
      <c r="AD30" s="67" t="str">
        <f t="shared" si="17"/>
        <v/>
      </c>
      <c r="AE30" s="52"/>
      <c r="AF30" s="64">
        <f t="shared" si="3"/>
        <v>8</v>
      </c>
      <c r="AG30" s="64">
        <f t="shared" si="18"/>
        <v>16</v>
      </c>
      <c r="AH30" s="64">
        <f t="shared" si="19"/>
        <v>100</v>
      </c>
      <c r="AI30" s="64">
        <f t="shared" si="20"/>
        <v>100</v>
      </c>
      <c r="AJ30" s="64"/>
      <c r="AK30" s="64">
        <f t="shared" si="21"/>
        <v>24</v>
      </c>
      <c r="AL30" s="64">
        <f t="shared" si="22"/>
        <v>100</v>
      </c>
      <c r="AM30" s="64">
        <f t="shared" si="23"/>
        <v>100</v>
      </c>
      <c r="AN30" s="53"/>
      <c r="AO30" s="329">
        <f t="shared" si="4"/>
        <v>24</v>
      </c>
      <c r="AP30" s="329">
        <f t="shared" si="5"/>
        <v>100</v>
      </c>
      <c r="AQ30" s="329">
        <f t="shared" si="6"/>
        <v>100</v>
      </c>
      <c r="AR30" s="329">
        <f t="shared" si="24"/>
        <v>120</v>
      </c>
      <c r="AS30" s="329">
        <f t="shared" si="25"/>
        <v>96</v>
      </c>
      <c r="AU30" s="74">
        <f t="shared" si="26"/>
        <v>350</v>
      </c>
      <c r="AV30" s="74">
        <f t="shared" si="27"/>
        <v>450</v>
      </c>
      <c r="AW30" s="74">
        <f t="shared" si="28"/>
        <v>550</v>
      </c>
      <c r="AX30" s="74">
        <f t="shared" si="29"/>
        <v>450</v>
      </c>
      <c r="AY30" s="74">
        <f t="shared" si="30"/>
        <v>550</v>
      </c>
      <c r="AZ30" s="74">
        <f t="shared" si="31"/>
        <v>480</v>
      </c>
      <c r="BA30" s="74">
        <f t="shared" si="32"/>
        <v>460</v>
      </c>
      <c r="BB30" s="74">
        <f t="shared" si="33"/>
        <v>500</v>
      </c>
      <c r="BC30" s="74">
        <f t="shared" si="34"/>
        <v>650</v>
      </c>
      <c r="BD30" s="74">
        <f t="shared" si="35"/>
        <v>492</v>
      </c>
      <c r="BE30" s="74">
        <f t="shared" si="36"/>
        <v>1096</v>
      </c>
      <c r="BF30" s="74">
        <f t="shared" si="37"/>
        <v>350</v>
      </c>
      <c r="BG30" s="74">
        <f t="shared" si="38"/>
        <v>1294</v>
      </c>
      <c r="BH30" s="74">
        <f t="shared" si="39"/>
        <v>422.94</v>
      </c>
      <c r="BI30" s="74">
        <f t="shared" si="40"/>
        <v>600</v>
      </c>
      <c r="BJ30" s="74">
        <f t="shared" si="41"/>
        <v>480</v>
      </c>
      <c r="BK30" s="74">
        <f t="shared" si="42"/>
        <v>500</v>
      </c>
      <c r="BL30" s="76">
        <f t="shared" si="43"/>
        <v>440</v>
      </c>
      <c r="BM30" s="76">
        <f t="shared" si="44"/>
        <v>420</v>
      </c>
      <c r="BN30" s="76">
        <f t="shared" si="45"/>
        <v>460</v>
      </c>
      <c r="BO30" s="76">
        <f t="shared" si="46"/>
        <v>420</v>
      </c>
      <c r="BP30" s="76">
        <f t="shared" si="47"/>
        <v>350</v>
      </c>
      <c r="BQ30" s="76">
        <f t="shared" si="48"/>
        <v>1010</v>
      </c>
      <c r="BR30" s="76">
        <f t="shared" si="49"/>
        <v>874</v>
      </c>
      <c r="BS30" s="76">
        <f t="shared" si="50"/>
        <v>1230</v>
      </c>
      <c r="BT30" s="76">
        <f t="shared" si="51"/>
        <v>467.44</v>
      </c>
      <c r="BU30" s="76">
        <f t="shared" si="52"/>
        <v>0</v>
      </c>
      <c r="BV30" s="76">
        <f t="shared" si="53"/>
        <v>350</v>
      </c>
      <c r="BX30" s="55"/>
      <c r="BY30" s="55"/>
      <c r="BZ30" s="55"/>
      <c r="CA30" s="55"/>
      <c r="CB30" s="55"/>
      <c r="CC30" s="55"/>
      <c r="CD30" s="55"/>
      <c r="CE30" s="55"/>
      <c r="CF30" s="55"/>
      <c r="CG30" s="55"/>
      <c r="CH30" s="55"/>
      <c r="CI30" s="55"/>
      <c r="CJ30" s="55"/>
      <c r="CK30" s="55"/>
      <c r="CM30" s="64">
        <f t="shared" si="54"/>
        <v>150</v>
      </c>
      <c r="CN30" s="292"/>
      <c r="CP30" s="265">
        <f t="shared" si="55"/>
        <v>17</v>
      </c>
      <c r="CQ30" s="266">
        <f t="shared" si="56"/>
        <v>61</v>
      </c>
      <c r="CR30" s="267" t="str">
        <f t="shared" si="57"/>
        <v/>
      </c>
      <c r="CS30" s="267" t="str">
        <f t="shared" si="58"/>
        <v/>
      </c>
      <c r="CT30" s="267" t="str">
        <f t="shared" si="59"/>
        <v/>
      </c>
      <c r="CU30" s="267" t="str">
        <f t="shared" si="60"/>
        <v/>
      </c>
      <c r="CV30" s="267" t="str">
        <f t="shared" si="61"/>
        <v/>
      </c>
      <c r="CW30" s="267" t="str">
        <f t="shared" si="62"/>
        <v/>
      </c>
      <c r="CX30" s="267" t="str">
        <f t="shared" si="63"/>
        <v/>
      </c>
      <c r="CY30" s="267" t="str">
        <f t="shared" si="64"/>
        <v/>
      </c>
      <c r="CZ30" s="267" t="str">
        <f t="shared" si="65"/>
        <v/>
      </c>
      <c r="DA30" s="267" t="str">
        <f t="shared" si="66"/>
        <v/>
      </c>
      <c r="DB30" s="267" t="str">
        <f t="shared" si="67"/>
        <v/>
      </c>
      <c r="DC30" s="267">
        <f t="shared" si="68"/>
        <v>33.855310399557332</v>
      </c>
      <c r="DD30" s="267" t="str">
        <f t="shared" si="69"/>
        <v/>
      </c>
      <c r="DE30" s="267" t="str">
        <f t="shared" si="70"/>
        <v/>
      </c>
      <c r="DF30" s="267" t="str">
        <f t="shared" si="71"/>
        <v/>
      </c>
      <c r="DG30" s="267" t="str">
        <f t="shared" si="72"/>
        <v/>
      </c>
      <c r="DH30" s="267" t="str">
        <f t="shared" si="73"/>
        <v/>
      </c>
      <c r="DI30" s="267" t="str">
        <f t="shared" si="74"/>
        <v/>
      </c>
      <c r="DJ30" s="267" t="str">
        <f t="shared" si="75"/>
        <v/>
      </c>
      <c r="DK30" s="267" t="str">
        <f t="shared" si="76"/>
        <v/>
      </c>
    </row>
    <row r="31" spans="2:115" ht="27" customHeight="1">
      <c r="B31" s="14"/>
      <c r="C31" s="198"/>
      <c r="D31" s="196"/>
      <c r="E31" s="197"/>
      <c r="F31" s="198"/>
      <c r="G31" s="198"/>
      <c r="H31" s="199">
        <f t="shared" si="7"/>
        <v>0</v>
      </c>
      <c r="I31" s="200" t="str">
        <f t="shared" si="0"/>
        <v/>
      </c>
      <c r="J31" s="201"/>
      <c r="K31" s="198"/>
      <c r="L31" s="198"/>
      <c r="M31" s="332"/>
      <c r="N31" s="332"/>
      <c r="O31" s="332"/>
      <c r="P31" s="23"/>
      <c r="Q31" s="51" t="e">
        <f t="shared" si="1"/>
        <v>#N/A</v>
      </c>
      <c r="R31" s="40"/>
      <c r="S31" s="67" t="e">
        <f t="shared" si="8"/>
        <v>#N/A</v>
      </c>
      <c r="T31" s="67" t="e">
        <f t="shared" si="9"/>
        <v>#N/A</v>
      </c>
      <c r="U31" s="67" t="b">
        <f t="shared" si="2"/>
        <v>0</v>
      </c>
      <c r="V31" s="67" t="e">
        <f t="shared" si="10"/>
        <v>#N/A</v>
      </c>
      <c r="W31" s="67" t="b">
        <f t="shared" si="11"/>
        <v>0</v>
      </c>
      <c r="X31" s="67" t="b">
        <f t="shared" si="12"/>
        <v>0</v>
      </c>
      <c r="Y31" s="67" t="b">
        <f t="shared" si="13"/>
        <v>0</v>
      </c>
      <c r="Z31" s="67" t="b">
        <f t="shared" si="14"/>
        <v>0</v>
      </c>
      <c r="AA31" s="67" t="b">
        <f t="shared" si="15"/>
        <v>0</v>
      </c>
      <c r="AB31" s="67" t="b">
        <f t="shared" si="16"/>
        <v>0</v>
      </c>
      <c r="AC31" s="52"/>
      <c r="AD31" s="67" t="str">
        <f t="shared" si="17"/>
        <v/>
      </c>
      <c r="AE31" s="52"/>
      <c r="AF31" s="64">
        <f t="shared" si="3"/>
        <v>0</v>
      </c>
      <c r="AG31" s="64">
        <f t="shared" si="18"/>
        <v>0</v>
      </c>
      <c r="AH31" s="64">
        <f t="shared" si="19"/>
        <v>0</v>
      </c>
      <c r="AI31" s="64">
        <f t="shared" si="20"/>
        <v>0</v>
      </c>
      <c r="AJ31" s="64"/>
      <c r="AK31" s="64">
        <f t="shared" si="21"/>
        <v>0</v>
      </c>
      <c r="AL31" s="64">
        <f t="shared" si="22"/>
        <v>0</v>
      </c>
      <c r="AM31" s="64">
        <f t="shared" si="23"/>
        <v>0</v>
      </c>
      <c r="AN31" s="53"/>
      <c r="AO31" s="329">
        <f t="shared" si="4"/>
        <v>0</v>
      </c>
      <c r="AP31" s="329">
        <f t="shared" si="5"/>
        <v>0</v>
      </c>
      <c r="AQ31" s="329">
        <f t="shared" si="6"/>
        <v>0</v>
      </c>
      <c r="AR31" s="329">
        <f t="shared" si="24"/>
        <v>0</v>
      </c>
      <c r="AS31" s="329">
        <f t="shared" si="25"/>
        <v>0</v>
      </c>
      <c r="AU31" s="74">
        <f t="shared" si="26"/>
        <v>0</v>
      </c>
      <c r="AV31" s="74">
        <f t="shared" si="27"/>
        <v>0</v>
      </c>
      <c r="AW31" s="74">
        <f t="shared" si="28"/>
        <v>0</v>
      </c>
      <c r="AX31" s="74">
        <f t="shared" si="29"/>
        <v>0</v>
      </c>
      <c r="AY31" s="74">
        <f t="shared" si="30"/>
        <v>0</v>
      </c>
      <c r="AZ31" s="74">
        <f t="shared" si="31"/>
        <v>0</v>
      </c>
      <c r="BA31" s="74">
        <f t="shared" si="32"/>
        <v>0</v>
      </c>
      <c r="BB31" s="74">
        <f t="shared" si="33"/>
        <v>0</v>
      </c>
      <c r="BC31" s="74">
        <f t="shared" si="34"/>
        <v>0</v>
      </c>
      <c r="BD31" s="74">
        <f t="shared" si="35"/>
        <v>0</v>
      </c>
      <c r="BE31" s="74">
        <f t="shared" si="36"/>
        <v>0</v>
      </c>
      <c r="BF31" s="74">
        <f t="shared" si="37"/>
        <v>0</v>
      </c>
      <c r="BG31" s="74">
        <f t="shared" si="38"/>
        <v>0</v>
      </c>
      <c r="BH31" s="74">
        <f t="shared" si="39"/>
        <v>0</v>
      </c>
      <c r="BI31" s="74">
        <f t="shared" si="40"/>
        <v>0</v>
      </c>
      <c r="BJ31" s="74">
        <f t="shared" si="41"/>
        <v>0</v>
      </c>
      <c r="BK31" s="74">
        <f t="shared" si="42"/>
        <v>0</v>
      </c>
      <c r="BL31" s="76">
        <f t="shared" si="43"/>
        <v>0</v>
      </c>
      <c r="BM31" s="76">
        <f t="shared" si="44"/>
        <v>0</v>
      </c>
      <c r="BN31" s="76">
        <f t="shared" si="45"/>
        <v>0</v>
      </c>
      <c r="BO31" s="76">
        <f t="shared" si="46"/>
        <v>0</v>
      </c>
      <c r="BP31" s="76">
        <f t="shared" si="47"/>
        <v>0</v>
      </c>
      <c r="BQ31" s="76">
        <f t="shared" si="48"/>
        <v>0</v>
      </c>
      <c r="BR31" s="76">
        <f t="shared" si="49"/>
        <v>0</v>
      </c>
      <c r="BS31" s="76">
        <f t="shared" si="50"/>
        <v>0</v>
      </c>
      <c r="BT31" s="76">
        <f t="shared" si="51"/>
        <v>0</v>
      </c>
      <c r="BU31" s="76">
        <f t="shared" si="52"/>
        <v>0</v>
      </c>
      <c r="BV31" s="76">
        <f t="shared" si="53"/>
        <v>0</v>
      </c>
      <c r="CM31" s="64">
        <f t="shared" si="54"/>
        <v>150</v>
      </c>
      <c r="CN31" s="292"/>
      <c r="CP31" s="265">
        <f t="shared" si="55"/>
        <v>0</v>
      </c>
      <c r="CQ31" s="266">
        <f t="shared" si="56"/>
        <v>0</v>
      </c>
      <c r="CR31" s="267" t="str">
        <f t="shared" si="57"/>
        <v/>
      </c>
      <c r="CS31" s="267" t="str">
        <f t="shared" si="58"/>
        <v/>
      </c>
      <c r="CT31" s="267" t="str">
        <f t="shared" si="59"/>
        <v/>
      </c>
      <c r="CU31" s="267" t="str">
        <f t="shared" si="60"/>
        <v/>
      </c>
      <c r="CV31" s="267" t="str">
        <f t="shared" si="61"/>
        <v/>
      </c>
      <c r="CW31" s="267" t="str">
        <f t="shared" si="62"/>
        <v/>
      </c>
      <c r="CX31" s="267" t="str">
        <f t="shared" si="63"/>
        <v/>
      </c>
      <c r="CY31" s="267" t="str">
        <f t="shared" si="64"/>
        <v/>
      </c>
      <c r="CZ31" s="267" t="str">
        <f t="shared" si="65"/>
        <v/>
      </c>
      <c r="DA31" s="267" t="str">
        <f t="shared" si="66"/>
        <v/>
      </c>
      <c r="DB31" s="267" t="str">
        <f t="shared" si="67"/>
        <v/>
      </c>
      <c r="DC31" s="267" t="str">
        <f t="shared" si="68"/>
        <v/>
      </c>
      <c r="DD31" s="267" t="str">
        <f t="shared" si="69"/>
        <v/>
      </c>
      <c r="DE31" s="267" t="str">
        <f t="shared" si="70"/>
        <v/>
      </c>
      <c r="DF31" s="267" t="str">
        <f t="shared" si="71"/>
        <v/>
      </c>
      <c r="DG31" s="267" t="str">
        <f t="shared" si="72"/>
        <v/>
      </c>
      <c r="DH31" s="267" t="str">
        <f t="shared" si="73"/>
        <v/>
      </c>
      <c r="DI31" s="267" t="str">
        <f t="shared" si="74"/>
        <v/>
      </c>
      <c r="DJ31" s="267" t="str">
        <f t="shared" si="75"/>
        <v/>
      </c>
      <c r="DK31" s="267" t="str">
        <f t="shared" si="76"/>
        <v/>
      </c>
    </row>
    <row r="32" spans="2:115" ht="27" customHeight="1">
      <c r="B32" s="14"/>
      <c r="C32" s="198"/>
      <c r="D32" s="196"/>
      <c r="E32" s="197"/>
      <c r="F32" s="198"/>
      <c r="G32" s="198"/>
      <c r="H32" s="199">
        <f t="shared" si="7"/>
        <v>0</v>
      </c>
      <c r="I32" s="200" t="str">
        <f t="shared" si="0"/>
        <v/>
      </c>
      <c r="J32" s="201"/>
      <c r="K32" s="332"/>
      <c r="L32" s="332"/>
      <c r="M32" s="332"/>
      <c r="N32" s="332"/>
      <c r="O32" s="332"/>
      <c r="P32" s="23"/>
      <c r="Q32" s="51" t="e">
        <f t="shared" si="1"/>
        <v>#N/A</v>
      </c>
      <c r="R32" s="40"/>
      <c r="S32" s="67" t="e">
        <f t="shared" si="8"/>
        <v>#N/A</v>
      </c>
      <c r="T32" s="67" t="e">
        <f t="shared" si="9"/>
        <v>#N/A</v>
      </c>
      <c r="U32" s="67" t="b">
        <f t="shared" si="2"/>
        <v>0</v>
      </c>
      <c r="V32" s="67" t="e">
        <f t="shared" si="10"/>
        <v>#N/A</v>
      </c>
      <c r="W32" s="67" t="b">
        <f t="shared" si="11"/>
        <v>0</v>
      </c>
      <c r="X32" s="67" t="b">
        <f t="shared" si="12"/>
        <v>0</v>
      </c>
      <c r="Y32" s="67" t="b">
        <f t="shared" si="13"/>
        <v>0</v>
      </c>
      <c r="Z32" s="67" t="b">
        <f t="shared" si="14"/>
        <v>0</v>
      </c>
      <c r="AA32" s="67" t="b">
        <f t="shared" si="15"/>
        <v>0</v>
      </c>
      <c r="AB32" s="67" t="b">
        <f t="shared" si="16"/>
        <v>0</v>
      </c>
      <c r="AC32" s="52"/>
      <c r="AD32" s="67" t="str">
        <f t="shared" si="17"/>
        <v/>
      </c>
      <c r="AE32" s="52"/>
      <c r="AF32" s="64">
        <f t="shared" si="3"/>
        <v>0</v>
      </c>
      <c r="AG32" s="64">
        <f t="shared" si="18"/>
        <v>0</v>
      </c>
      <c r="AH32" s="64">
        <f t="shared" si="19"/>
        <v>0</v>
      </c>
      <c r="AI32" s="64">
        <f t="shared" si="20"/>
        <v>0</v>
      </c>
      <c r="AJ32" s="64"/>
      <c r="AK32" s="64">
        <f t="shared" si="21"/>
        <v>0</v>
      </c>
      <c r="AL32" s="64">
        <f t="shared" si="22"/>
        <v>0</v>
      </c>
      <c r="AM32" s="64">
        <f t="shared" si="23"/>
        <v>0</v>
      </c>
      <c r="AN32" s="53"/>
      <c r="AO32" s="329">
        <f t="shared" si="4"/>
        <v>0</v>
      </c>
      <c r="AP32" s="329">
        <f t="shared" si="5"/>
        <v>0</v>
      </c>
      <c r="AQ32" s="329">
        <f t="shared" si="6"/>
        <v>0</v>
      </c>
      <c r="AR32" s="329">
        <f t="shared" si="24"/>
        <v>0</v>
      </c>
      <c r="AS32" s="329">
        <f t="shared" si="25"/>
        <v>0</v>
      </c>
      <c r="AU32" s="74">
        <f t="shared" si="26"/>
        <v>0</v>
      </c>
      <c r="AV32" s="74">
        <f t="shared" si="27"/>
        <v>0</v>
      </c>
      <c r="AW32" s="74">
        <f t="shared" si="28"/>
        <v>0</v>
      </c>
      <c r="AX32" s="74">
        <f t="shared" si="29"/>
        <v>0</v>
      </c>
      <c r="AY32" s="74">
        <f t="shared" si="30"/>
        <v>0</v>
      </c>
      <c r="AZ32" s="74">
        <f t="shared" si="31"/>
        <v>0</v>
      </c>
      <c r="BA32" s="74">
        <f t="shared" si="32"/>
        <v>0</v>
      </c>
      <c r="BB32" s="74">
        <f t="shared" si="33"/>
        <v>0</v>
      </c>
      <c r="BC32" s="74">
        <f t="shared" si="34"/>
        <v>0</v>
      </c>
      <c r="BD32" s="74">
        <f t="shared" si="35"/>
        <v>0</v>
      </c>
      <c r="BE32" s="74">
        <f t="shared" si="36"/>
        <v>0</v>
      </c>
      <c r="BF32" s="74">
        <f t="shared" si="37"/>
        <v>0</v>
      </c>
      <c r="BG32" s="74">
        <f t="shared" si="38"/>
        <v>0</v>
      </c>
      <c r="BH32" s="74">
        <f t="shared" si="39"/>
        <v>0</v>
      </c>
      <c r="BI32" s="74">
        <f t="shared" si="40"/>
        <v>0</v>
      </c>
      <c r="BJ32" s="74">
        <f t="shared" si="41"/>
        <v>0</v>
      </c>
      <c r="BK32" s="74">
        <f t="shared" si="42"/>
        <v>0</v>
      </c>
      <c r="BL32" s="76">
        <f t="shared" si="43"/>
        <v>0</v>
      </c>
      <c r="BM32" s="76">
        <f t="shared" si="44"/>
        <v>0</v>
      </c>
      <c r="BN32" s="76">
        <f t="shared" si="45"/>
        <v>0</v>
      </c>
      <c r="BO32" s="76">
        <f t="shared" si="46"/>
        <v>0</v>
      </c>
      <c r="BP32" s="76">
        <f t="shared" si="47"/>
        <v>0</v>
      </c>
      <c r="BQ32" s="76">
        <f t="shared" si="48"/>
        <v>0</v>
      </c>
      <c r="BR32" s="76">
        <f t="shared" si="49"/>
        <v>0</v>
      </c>
      <c r="BS32" s="76">
        <f t="shared" si="50"/>
        <v>0</v>
      </c>
      <c r="BT32" s="76">
        <f t="shared" si="51"/>
        <v>0</v>
      </c>
      <c r="BU32" s="76">
        <f t="shared" si="52"/>
        <v>0</v>
      </c>
      <c r="BV32" s="76">
        <f t="shared" si="53"/>
        <v>0</v>
      </c>
      <c r="CM32" s="64">
        <f t="shared" si="54"/>
        <v>150</v>
      </c>
      <c r="CN32" s="292"/>
      <c r="CP32" s="265">
        <f t="shared" si="55"/>
        <v>0</v>
      </c>
      <c r="CQ32" s="266">
        <f t="shared" si="56"/>
        <v>0</v>
      </c>
      <c r="CR32" s="267" t="str">
        <f t="shared" si="57"/>
        <v/>
      </c>
      <c r="CS32" s="267" t="str">
        <f t="shared" si="58"/>
        <v/>
      </c>
      <c r="CT32" s="267" t="str">
        <f t="shared" si="59"/>
        <v/>
      </c>
      <c r="CU32" s="267" t="str">
        <f t="shared" si="60"/>
        <v/>
      </c>
      <c r="CV32" s="267" t="str">
        <f t="shared" si="61"/>
        <v/>
      </c>
      <c r="CW32" s="267" t="str">
        <f t="shared" si="62"/>
        <v/>
      </c>
      <c r="CX32" s="267" t="str">
        <f t="shared" si="63"/>
        <v/>
      </c>
      <c r="CY32" s="267" t="str">
        <f t="shared" si="64"/>
        <v/>
      </c>
      <c r="CZ32" s="267" t="str">
        <f t="shared" si="65"/>
        <v/>
      </c>
      <c r="DA32" s="267" t="str">
        <f t="shared" si="66"/>
        <v/>
      </c>
      <c r="DB32" s="267" t="str">
        <f t="shared" si="67"/>
        <v/>
      </c>
      <c r="DC32" s="267" t="str">
        <f t="shared" si="68"/>
        <v/>
      </c>
      <c r="DD32" s="267" t="str">
        <f t="shared" si="69"/>
        <v/>
      </c>
      <c r="DE32" s="267" t="str">
        <f t="shared" si="70"/>
        <v/>
      </c>
      <c r="DF32" s="267" t="str">
        <f t="shared" si="71"/>
        <v/>
      </c>
      <c r="DG32" s="267" t="str">
        <f t="shared" si="72"/>
        <v/>
      </c>
      <c r="DH32" s="267" t="str">
        <f t="shared" si="73"/>
        <v/>
      </c>
      <c r="DI32" s="267" t="str">
        <f t="shared" si="74"/>
        <v/>
      </c>
      <c r="DJ32" s="267" t="str">
        <f t="shared" si="75"/>
        <v/>
      </c>
      <c r="DK32" s="267" t="str">
        <f t="shared" si="76"/>
        <v/>
      </c>
    </row>
    <row r="33" spans="2:115" ht="16.350000000000001" customHeight="1">
      <c r="B33" s="15" t="s">
        <v>152</v>
      </c>
      <c r="C33" s="1"/>
      <c r="D33" s="1"/>
      <c r="E33" s="1"/>
      <c r="F33" s="1"/>
      <c r="G33" s="1"/>
      <c r="H33" s="1"/>
      <c r="I33" s="1"/>
      <c r="J33" s="3"/>
      <c r="K33" s="16"/>
      <c r="L33" s="172" t="s">
        <v>217</v>
      </c>
      <c r="M33" s="17"/>
      <c r="N33" s="1"/>
      <c r="O33" s="18" t="s">
        <v>209</v>
      </c>
      <c r="P33" s="19"/>
      <c r="CP33" s="347" t="s">
        <v>21</v>
      </c>
      <c r="CQ33" s="348"/>
      <c r="CR33" s="268">
        <f>SUM(CR10:CR32)</f>
        <v>0</v>
      </c>
      <c r="CS33" s="268">
        <f t="shared" ref="CS33:DK33" si="77">SUM(CS10:CS32)</f>
        <v>0</v>
      </c>
      <c r="CT33" s="268">
        <f t="shared" si="77"/>
        <v>0</v>
      </c>
      <c r="CU33" s="268">
        <f t="shared" si="77"/>
        <v>0</v>
      </c>
      <c r="CV33" s="268">
        <f t="shared" si="77"/>
        <v>0</v>
      </c>
      <c r="CW33" s="268">
        <f t="shared" si="77"/>
        <v>0</v>
      </c>
      <c r="CX33" s="268">
        <f t="shared" si="77"/>
        <v>0</v>
      </c>
      <c r="CY33" s="268">
        <f t="shared" si="77"/>
        <v>0</v>
      </c>
      <c r="CZ33" s="268">
        <f t="shared" si="77"/>
        <v>0</v>
      </c>
      <c r="DA33" s="268">
        <f t="shared" si="77"/>
        <v>0</v>
      </c>
      <c r="DB33" s="268">
        <f t="shared" si="77"/>
        <v>0</v>
      </c>
      <c r="DC33" s="268">
        <f t="shared" si="77"/>
        <v>115.84987334860179</v>
      </c>
      <c r="DD33" s="268">
        <f t="shared" si="77"/>
        <v>116.77221353576921</v>
      </c>
      <c r="DE33" s="268">
        <f t="shared" si="77"/>
        <v>33.559372371589177</v>
      </c>
      <c r="DF33" s="268">
        <f t="shared" si="77"/>
        <v>0</v>
      </c>
      <c r="DG33" s="268">
        <f t="shared" si="77"/>
        <v>0</v>
      </c>
      <c r="DH33" s="268">
        <f t="shared" si="77"/>
        <v>0</v>
      </c>
      <c r="DI33" s="268">
        <f t="shared" si="77"/>
        <v>0</v>
      </c>
      <c r="DJ33" s="268">
        <f t="shared" si="77"/>
        <v>0</v>
      </c>
      <c r="DK33" s="268">
        <f t="shared" si="77"/>
        <v>0</v>
      </c>
    </row>
    <row r="34" spans="2:115" ht="15.75" customHeight="1">
      <c r="B34" s="15" t="s">
        <v>153</v>
      </c>
      <c r="C34" s="1"/>
      <c r="D34" s="1"/>
      <c r="E34" s="1"/>
      <c r="F34" s="1"/>
      <c r="G34" s="1"/>
      <c r="H34" s="15" t="s">
        <v>154</v>
      </c>
      <c r="I34" s="1"/>
      <c r="J34" s="1"/>
      <c r="K34" s="1"/>
      <c r="L34" s="1"/>
      <c r="M34" s="20"/>
      <c r="N34" s="1"/>
      <c r="O34" s="21" t="s">
        <v>210</v>
      </c>
      <c r="P34" s="22"/>
      <c r="CP34" s="257"/>
      <c r="CQ34" s="257"/>
      <c r="CR34" s="257"/>
      <c r="CS34" s="257"/>
      <c r="CT34" s="257"/>
      <c r="CU34" s="257"/>
      <c r="CV34" s="257"/>
      <c r="CW34" s="257"/>
      <c r="CX34" s="257"/>
      <c r="CY34" s="257"/>
      <c r="CZ34" s="257"/>
      <c r="DA34" s="257"/>
      <c r="DB34" s="257"/>
      <c r="DC34" s="257"/>
      <c r="DD34" s="257"/>
      <c r="DE34" s="257"/>
      <c r="DF34" s="257"/>
      <c r="DG34" s="257"/>
      <c r="DH34" s="257"/>
      <c r="DI34" s="257"/>
      <c r="DJ34" s="257"/>
      <c r="DK34" s="257"/>
    </row>
    <row r="35" spans="2:115">
      <c r="CP35" s="355" t="s">
        <v>22</v>
      </c>
      <c r="CQ35" s="356"/>
      <c r="CR35" s="269"/>
      <c r="CS35" s="269"/>
      <c r="CT35" s="269"/>
      <c r="CU35" s="269"/>
      <c r="CV35" s="269"/>
      <c r="CW35" s="269"/>
      <c r="CX35" s="269"/>
      <c r="CY35" s="269"/>
      <c r="CZ35" s="269"/>
      <c r="DA35" s="269"/>
      <c r="DB35" s="269"/>
      <c r="DC35" s="269"/>
      <c r="DD35" s="269">
        <f>SUM(CR33:DK33)</f>
        <v>266.18145925596019</v>
      </c>
      <c r="DE35" s="269"/>
      <c r="DF35" s="269"/>
      <c r="DG35" s="269">
        <f>SUM(DD10:DD13)</f>
        <v>74.539390794479928</v>
      </c>
      <c r="DH35" s="269">
        <f>SUM(DC15:DE30)</f>
        <v>191.64206846148022</v>
      </c>
      <c r="DI35" s="269">
        <f>DG35+DH35</f>
        <v>266.18145925596014</v>
      </c>
      <c r="DJ35" s="269"/>
      <c r="DK35" s="269"/>
    </row>
    <row r="36" spans="2:115">
      <c r="M36" s="62"/>
      <c r="N36" s="63"/>
      <c r="O36" s="63"/>
      <c r="P36" s="44"/>
      <c r="R36" s="45"/>
      <c r="S36" s="45"/>
      <c r="T36" s="45"/>
      <c r="U36" s="45"/>
      <c r="V36" s="45"/>
      <c r="W36" s="45"/>
      <c r="X36" s="45"/>
      <c r="Y36" s="45"/>
      <c r="Z36" s="45"/>
      <c r="AA36" s="45"/>
      <c r="AB36" s="45"/>
      <c r="AC36" s="45"/>
      <c r="AD36" s="45"/>
      <c r="AE36" s="45"/>
      <c r="CP36" s="270" t="s">
        <v>23</v>
      </c>
      <c r="CQ36" s="1"/>
      <c r="CR36" s="1"/>
      <c r="CS36" s="1"/>
      <c r="CT36" s="1"/>
      <c r="CU36" s="1"/>
      <c r="CV36" s="1"/>
      <c r="CW36" s="1"/>
      <c r="CX36" s="1"/>
      <c r="CY36" s="1"/>
      <c r="CZ36" s="1"/>
      <c r="DA36" s="1"/>
      <c r="DB36" s="1"/>
      <c r="DC36" s="1"/>
      <c r="DD36" s="1"/>
      <c r="DE36" s="1"/>
      <c r="DF36" s="1"/>
      <c r="DG36" s="1"/>
      <c r="DH36" s="1"/>
      <c r="DI36" s="1"/>
      <c r="DJ36" s="1"/>
      <c r="DK36" s="21" t="s">
        <v>211</v>
      </c>
    </row>
    <row r="37" spans="2:115">
      <c r="L37" s="40"/>
      <c r="M37" s="40"/>
      <c r="N37" s="40"/>
      <c r="O37" s="40"/>
      <c r="Q37" s="56"/>
      <c r="R37" s="56"/>
      <c r="S37" s="56"/>
      <c r="T37" s="56"/>
      <c r="U37" s="56"/>
      <c r="V37" s="56"/>
      <c r="W37" s="56"/>
      <c r="X37" s="56"/>
      <c r="Y37" s="56"/>
      <c r="Z37" s="56"/>
      <c r="AA37" s="56"/>
      <c r="AB37" s="56"/>
      <c r="AC37" s="56"/>
      <c r="AD37" s="56"/>
      <c r="AE37" s="56"/>
    </row>
    <row r="38" spans="2:115">
      <c r="M38" s="56"/>
    </row>
  </sheetData>
  <sheetProtection password="FD2D" sheet="1" objects="1"/>
  <mergeCells count="29">
    <mergeCell ref="CP35:CQ35"/>
    <mergeCell ref="CP4:CS4"/>
    <mergeCell ref="L4:M4"/>
    <mergeCell ref="J8:J9"/>
    <mergeCell ref="D8:E8"/>
    <mergeCell ref="DG5:DH5"/>
    <mergeCell ref="CP8:CP9"/>
    <mergeCell ref="CQ8:CQ9"/>
    <mergeCell ref="AU8:BV8"/>
    <mergeCell ref="CW4:DA4"/>
    <mergeCell ref="B2:G2"/>
    <mergeCell ref="B8:B9"/>
    <mergeCell ref="I8:I9"/>
    <mergeCell ref="C8:C9"/>
    <mergeCell ref="H8:H9"/>
    <mergeCell ref="CP33:CQ33"/>
    <mergeCell ref="AK8:AM8"/>
    <mergeCell ref="AO7:AQ8"/>
    <mergeCell ref="AR7:AS8"/>
    <mergeCell ref="S8:AB8"/>
    <mergeCell ref="CW5:DA5"/>
    <mergeCell ref="I7:K7"/>
    <mergeCell ref="F8:F9"/>
    <mergeCell ref="P8:P9"/>
    <mergeCell ref="G8:G9"/>
    <mergeCell ref="C4:G4"/>
    <mergeCell ref="C6:G6"/>
    <mergeCell ref="BX6:CK6"/>
    <mergeCell ref="AG8:AI8"/>
  </mergeCells>
  <phoneticPr fontId="10" type="noConversion"/>
  <conditionalFormatting sqref="F10:F32">
    <cfRule type="expression" dxfId="34" priority="1" stopIfTrue="1">
      <formula>AND($C10&lt;&gt;"",$F10="")</formula>
    </cfRule>
  </conditionalFormatting>
  <conditionalFormatting sqref="C23:C32 K31:L31 G10:G32 O25:O30 M26:N30 K23:L27 C10:C21">
    <cfRule type="expression" dxfId="33" priority="2" stopIfTrue="1">
      <formula>AND($C10&lt;&gt;"",$G10="")</formula>
    </cfRule>
  </conditionalFormatting>
  <conditionalFormatting sqref="C4:G4">
    <cfRule type="expression" dxfId="32" priority="3" stopIfTrue="1">
      <formula>AND($C$4="",OR($L$2&lt;&gt;"",$M$2&lt;&gt;""))</formula>
    </cfRule>
  </conditionalFormatting>
  <conditionalFormatting sqref="J10:J32">
    <cfRule type="expression" dxfId="31" priority="4" stopIfTrue="1">
      <formula>AND($J10="",OR($C10&lt;&gt;"",$K10&lt;&gt;"",$L10&lt;&gt;"",$M10&lt;&gt;"",$N10&lt;&gt;"",$O10&lt;&gt;""))</formula>
    </cfRule>
  </conditionalFormatting>
  <conditionalFormatting sqref="M2">
    <cfRule type="expression" dxfId="30" priority="5" stopIfTrue="1">
      <formula>AND(OR($L$2&lt;&gt;"",$C$4&lt;&gt;"",$C$6&lt;&gt;"",$C10:$C32&lt;&gt;""),$M$2="")</formula>
    </cfRule>
  </conditionalFormatting>
  <conditionalFormatting sqref="L2">
    <cfRule type="expression" dxfId="29" priority="6" stopIfTrue="1">
      <formula>AND($L$2="",OR($M$2&lt;&gt;"",$C$4&lt;&gt;"",$C$6&lt;&gt;"",$C10:$C32&lt;&gt;""))</formula>
    </cfRule>
  </conditionalFormatting>
  <conditionalFormatting sqref="I10:I32">
    <cfRule type="expression" dxfId="28" priority="7" stopIfTrue="1">
      <formula>AND(ISNUMBER($I10),$I10&gt;18000)</formula>
    </cfRule>
  </conditionalFormatting>
  <conditionalFormatting sqref="O3">
    <cfRule type="expression" dxfId="27" priority="8" stopIfTrue="1">
      <formula>AND(O3="",O2&lt;&gt;"")</formula>
    </cfRule>
    <cfRule type="expression" dxfId="26" priority="9" stopIfTrue="1">
      <formula>AND(O2="",O3&lt;&gt;"")</formula>
    </cfRule>
  </conditionalFormatting>
  <conditionalFormatting sqref="I7:K7">
    <cfRule type="expression" dxfId="25" priority="10" stopIfTrue="1">
      <formula>VLOOKUP(1,range,1,FALSE)=1</formula>
    </cfRule>
  </conditionalFormatting>
  <conditionalFormatting sqref="P10:P32">
    <cfRule type="expression" dxfId="24" priority="11" stopIfTrue="1">
      <formula>AND(COUNTA($C10:$G10)=0,COUNTA($J10:$O10)=0,$P10&lt;&gt;"")</formula>
    </cfRule>
  </conditionalFormatting>
  <conditionalFormatting sqref="B2:G2">
    <cfRule type="expression" dxfId="23" priority="12" stopIfTrue="1">
      <formula>AND($B$2="",OR($L$2&lt;&gt;"",$M$2&lt;&gt;""))</formula>
    </cfRule>
  </conditionalFormatting>
  <conditionalFormatting sqref="O2">
    <cfRule type="expression" dxfId="22" priority="13" stopIfTrue="1">
      <formula>AND(COUNTA(P10:P32)&gt;0,O2="")</formula>
    </cfRule>
  </conditionalFormatting>
  <conditionalFormatting sqref="K10:N10 K12">
    <cfRule type="expression" dxfId="21" priority="14" stopIfTrue="1">
      <formula>AND(OR(bargroup4,bargroup5),NOT(ISNUMBER($N10)))</formula>
    </cfRule>
    <cfRule type="expression" dxfId="20" priority="15" stopIfTrue="1">
      <formula>OR($J10=52,$J10=85)</formula>
    </cfRule>
    <cfRule type="expression" dxfId="19" priority="16" stopIfTrue="1">
      <formula>AND(OR(bargroup1,bargroup2,bargroup3,bargroup6,bargroup7),$N10&lt;&gt;"")</formula>
    </cfRule>
  </conditionalFormatting>
  <conditionalFormatting sqref="O10">
    <cfRule type="expression" dxfId="18" priority="17" stopIfTrue="1">
      <formula>AND(OR(bargroup5,bargroup6,bargroup7),NOT(ISNUMBER($O10)))</formula>
    </cfRule>
    <cfRule type="expression" dxfId="17" priority="18" stopIfTrue="1">
      <formula>OR($J10=43,$J10=53,$J10=55)</formula>
    </cfRule>
    <cfRule type="expression" dxfId="16" priority="19" stopIfTrue="1">
      <formula>AND(OR(bargroup1,bargroup2,bargroup3,bargroup4),$O10&lt;&gt;"")</formula>
    </cfRule>
  </conditionalFormatting>
  <conditionalFormatting sqref="Q10:Q32">
    <cfRule type="expression" dxfId="15" priority="20" stopIfTrue="1">
      <formula>OR($S10,$T10,$U10,$V10,$W10,$X10,$Y10,$Z10,$AA10,$AB10)</formula>
    </cfRule>
    <cfRule type="expression" dxfId="14" priority="21" stopIfTrue="1">
      <formula>ISNA($Q10)</formula>
    </cfRule>
  </conditionalFormatting>
  <conditionalFormatting sqref="D10:D32">
    <cfRule type="expression" dxfId="13" priority="22" stopIfTrue="1">
      <formula>OR(AND($C10&lt;&gt;"",$D10=""),AND($E10&lt;&gt;"",$D10=""))</formula>
    </cfRule>
  </conditionalFormatting>
  <conditionalFormatting sqref="E10:E32">
    <cfRule type="expression" dxfId="12" priority="23" stopIfTrue="1">
      <formula>OR(AND($C10&lt;&gt;"",$E10=""),AND($D10&lt;&gt;"",$E10=""))</formula>
    </cfRule>
    <cfRule type="cellIs" dxfId="11" priority="24" stopIfTrue="1" operator="notBetween">
      <formula>8</formula>
      <formula>40</formula>
    </cfRule>
  </conditionalFormatting>
  <conditionalFormatting sqref="K21:K22 K28:K30">
    <cfRule type="expression" dxfId="10" priority="25" stopIfTrue="1">
      <formula>AND($J21&lt;&gt;"",NOT(ISNUMBER($K21)))</formula>
    </cfRule>
    <cfRule type="expression" dxfId="9" priority="26" stopIfTrue="1">
      <formula>$J21=99</formula>
    </cfRule>
  </conditionalFormatting>
  <conditionalFormatting sqref="L28:L30">
    <cfRule type="expression" dxfId="8" priority="27" stopIfTrue="1">
      <formula>AND(OR(bargroup2,bargroup3,bargroup4,bargroup5,bargroup7),NOT(ISNUMBER($L28)))</formula>
    </cfRule>
    <cfRule type="expression" dxfId="7" priority="28" stopIfTrue="1">
      <formula>OR($J28=37,$J28=51)</formula>
    </cfRule>
    <cfRule type="expression" dxfId="6" priority="29" stopIfTrue="1">
      <formula>AND(OR(bargroup1,bargroup6),$L28&lt;&gt;"")</formula>
    </cfRule>
  </conditionalFormatting>
  <conditionalFormatting sqref="C22">
    <cfRule type="expression" dxfId="5" priority="30" stopIfTrue="1">
      <formula>AND(C22="",OR(D22&lt;&gt;"",E22&lt;&gt;"",F22&lt;&gt;"",G22&lt;&gt;"",J22&lt;&gt;""))</formula>
    </cfRule>
  </conditionalFormatting>
  <dataValidations count="17">
    <dataValidation type="list" allowBlank="1" showErrorMessage="1" errorTitle="BS 4466 clause 7.2" error="Incorrect shape code..." sqref="J10:J32">
      <formula1>shape.codes</formula1>
    </dataValidation>
    <dataValidation type="list" errorStyle="information" allowBlank="1" showErrorMessage="1" errorTitle="BS 4466 clause 4.3" error="This is the schedule number which starts at 01_x000a_and does not exceed 99 for any one drawing._x000a__x000a_If correct click OK..." sqref="M2">
      <formula1>schedule.nos</formula1>
    </dataValidation>
    <dataValidation type="whole" errorStyle="information" allowBlank="1" showErrorMessage="1" errorTitle="BS 4466 clause 4.3" error="This should be the last three characters of the_x000a_drawing number, starting at, for example,_x000a_drawing number 001._x000a__x000a_If correct click OK..." sqref="L2">
      <formula1>1</formula1>
      <formula2>999</formula2>
    </dataValidation>
    <dataValidation type="list" errorStyle="information" allowBlank="1" showErrorMessage="1" errorTitle="BS 4466 Table 3" error="If correct click OK..." sqref="E10:E32">
      <formula1>"6,8,10,12,16,20,25,32,40,50"</formula1>
    </dataValidation>
    <dataValidation type="custom" errorStyle="information" allowBlank="1" showErrorMessage="1" errorTitle="BS 4466 clause 4.5" error="If correct click OK..." sqref="C10:C32">
      <formula1>ISNUMBER(C10)</formula1>
    </dataValidation>
    <dataValidation type="list" errorStyle="information" allowBlank="1" showErrorMessage="1" errorTitle="BS 4466 clause 4.3" error="This should be a revision letter._x000a__x000a_If correct click OK..." sqref="O2">
      <formula1>"A,B,C,D,E,F,G, "</formula1>
    </dataValidation>
    <dataValidation type="list" allowBlank="1" sqref="L6">
      <formula1>prepared.by</formula1>
    </dataValidation>
    <dataValidation type="list" allowBlank="1" sqref="C4:G4">
      <formula1>site.ref</formula1>
    </dataValidation>
    <dataValidation type="list" allowBlank="1" sqref="C6:G6">
      <formula1>job.no</formula1>
    </dataValidation>
    <dataValidation type="custom" errorStyle="warning" allowBlank="1" showErrorMessage="1" errorTitle="BS 4466" error="This value is not acceptable in accordance with BS requirements._x000a_(see message to right of the screen)" sqref="K10:K32">
      <formula1>OR($J10="",AND(NOT($S10),NOT($T10),NOT($U10),NOT($X10)))</formula1>
    </dataValidation>
    <dataValidation type="custom" errorStyle="warning" allowBlank="1" showErrorMessage="1" errorTitle="BS 4466" error="This value is not acceptable in accordance with BS requirements._x000a_(see message to right of the screen)" sqref="L10:L32">
      <formula1>OR($J10="",AND(NOT($S10),NOT($T10),NOT($U10),NOT($X10),NOT($Y10),NOT($Z10)))</formula1>
    </dataValidation>
    <dataValidation type="custom" errorStyle="warning" allowBlank="1" showErrorMessage="1" errorTitle="BS 4466" error="This value is not acceptable in accordance with BS requirements._x000a_(see message to right of the screen)" sqref="M10:M32">
      <formula1>OR($J10="",AND(NOT($S10),NOT($T10),NOT($X10),NOT($Y10)))</formula1>
    </dataValidation>
    <dataValidation type="custom" errorStyle="warning" allowBlank="1" showErrorMessage="1" errorTitle="BS 4466" error="This value is not acceptable in accordance with BS requirements._x000a_(see message to right of the screen)" sqref="N10:N32">
      <formula1>OR($J10="",AND(NOT($S10),NOT($T10),NOT($V10),NOT($X10)))</formula1>
    </dataValidation>
    <dataValidation type="custom" errorStyle="warning" allowBlank="1" showErrorMessage="1" errorTitle="BS 4466" error="This value is not acceptable in accordance with BS requirements._x000a_(see message to right of the screen)" sqref="O10:O32">
      <formula1>OR($J10="",AND(NOT($S10),NOT($V10),NOT($W10),NOT($X10)))</formula1>
    </dataValidation>
    <dataValidation type="custom" allowBlank="1" showErrorMessage="1" errorTitle="BS 4466 Figure 2" error="A number is required !" sqref="G10:G32">
      <formula1>AND($G10&gt;0,($G10-TRUNC($G10))=0)</formula1>
    </dataValidation>
    <dataValidation type="custom" allowBlank="1" showErrorMessage="1" errorTitle="BS 4466 Figure 2" error="A number is required !" sqref="F10:F32">
      <formula1>AND($F10&gt;0,($F10-TRUNC($F10))=0)</formula1>
    </dataValidation>
    <dataValidation type="list" allowBlank="1" showErrorMessage="1" errorTitle="BS 4466 clause 4.6" error="Enter R, T, S or X only." sqref="D10:D32">
      <formula1>"R,T,S,X"</formula1>
    </dataValidation>
  </dataValidations>
  <printOptions horizontalCentered="1" verticalCentered="1"/>
  <pageMargins left="0.39370078740157483" right="0.39370078740157483" top="0.59055118110236227" bottom="0.59055118110236227" header="0.31496062992125984" footer="0.27559055118110237"/>
  <pageSetup paperSize="9" scale="94" orientation="portrait" r:id="rId1"/>
  <headerFooter alignWithMargins="0"/>
  <drawing r:id="rId2"/>
  <legacyDrawing r:id="rId3"/>
  <picture r:id="rId4"/>
  <mc:AlternateContent xmlns:mc="http://schemas.openxmlformats.org/markup-compatibility/2006">
    <mc:Choice Requires="x14">
      <controls>
        <mc:AlternateContent xmlns:mc="http://schemas.openxmlformats.org/markup-compatibility/2006">
          <mc:Choice Requires="x14">
            <control shapeId="1185" r:id="rId5" name="Button 161">
              <controlPr defaultSize="0" print="0" autoFill="0" autoPict="0" macro="[0]!Open_schedules">
                <anchor moveWithCells="1">
                  <from>
                    <xdr:col>16</xdr:col>
                    <xdr:colOff>304800</xdr:colOff>
                    <xdr:row>1</xdr:row>
                    <xdr:rowOff>171450</xdr:rowOff>
                  </from>
                  <to>
                    <xdr:col>17</xdr:col>
                    <xdr:colOff>161925</xdr:colOff>
                    <xdr:row>2</xdr:row>
                    <xdr:rowOff>114300</xdr:rowOff>
                  </to>
                </anchor>
              </controlPr>
            </control>
          </mc:Choice>
        </mc:AlternateContent>
        <mc:AlternateContent xmlns:mc="http://schemas.openxmlformats.org/markup-compatibility/2006">
          <mc:Choice Requires="x14">
            <control shapeId="1188" r:id="rId6" name="Button 164">
              <controlPr defaultSize="0" print="0" autoFill="0" autoPict="0" macro="[0]!Save_schedules">
                <anchor moveWithCells="1">
                  <from>
                    <xdr:col>16</xdr:col>
                    <xdr:colOff>304800</xdr:colOff>
                    <xdr:row>3</xdr:row>
                    <xdr:rowOff>114300</xdr:rowOff>
                  </from>
                  <to>
                    <xdr:col>17</xdr:col>
                    <xdr:colOff>161925</xdr:colOff>
                    <xdr:row>4</xdr:row>
                    <xdr:rowOff>123825</xdr:rowOff>
                  </to>
                </anchor>
              </controlPr>
            </control>
          </mc:Choice>
        </mc:AlternateContent>
        <mc:AlternateContent xmlns:mc="http://schemas.openxmlformats.org/markup-compatibility/2006">
          <mc:Choice Requires="x14">
            <control shapeId="1189" r:id="rId7" name="Button 165">
              <controlPr defaultSize="0" print="0" autoFill="0" autoPict="0" macro="[0]!QuitExcel">
                <anchor moveWithCells="1">
                  <from>
                    <xdr:col>16</xdr:col>
                    <xdr:colOff>304800</xdr:colOff>
                    <xdr:row>5</xdr:row>
                    <xdr:rowOff>123825</xdr:rowOff>
                  </from>
                  <to>
                    <xdr:col>17</xdr:col>
                    <xdr:colOff>161925</xdr:colOff>
                    <xdr:row>6</xdr:row>
                    <xdr:rowOff>133350</xdr:rowOff>
                  </to>
                </anchor>
              </controlPr>
            </control>
          </mc:Choice>
        </mc:AlternateContent>
        <mc:AlternateContent xmlns:mc="http://schemas.openxmlformats.org/markup-compatibility/2006">
          <mc:Choice Requires="x14">
            <control shapeId="1214" r:id="rId8" name="Button 190">
              <controlPr defaultSize="0" print="0" autoFill="0" autoPict="0" macro="[0]!printweights">
                <anchor moveWithCells="1">
                  <from>
                    <xdr:col>115</xdr:col>
                    <xdr:colOff>409575</xdr:colOff>
                    <xdr:row>8</xdr:row>
                    <xdr:rowOff>161925</xdr:rowOff>
                  </from>
                  <to>
                    <xdr:col>116</xdr:col>
                    <xdr:colOff>428625</xdr:colOff>
                    <xdr:row>9</xdr:row>
                    <xdr:rowOff>38100</xdr:rowOff>
                  </to>
                </anchor>
              </controlPr>
            </control>
          </mc:Choice>
        </mc:AlternateContent>
        <mc:AlternateContent xmlns:mc="http://schemas.openxmlformats.org/markup-compatibility/2006">
          <mc:Choice Requires="x14">
            <control shapeId="1215" r:id="rId9" name="Button 191">
              <controlPr defaultSize="0" print="0" autoFill="0" autoPict="0" macro="[0]!totalweights2">
                <anchor moveWithCells="1">
                  <from>
                    <xdr:col>115</xdr:col>
                    <xdr:colOff>409575</xdr:colOff>
                    <xdr:row>10</xdr:row>
                    <xdr:rowOff>228600</xdr:rowOff>
                  </from>
                  <to>
                    <xdr:col>116</xdr:col>
                    <xdr:colOff>428625</xdr:colOff>
                    <xdr:row>11</xdr:row>
                    <xdr:rowOff>104775</xdr:rowOff>
                  </to>
                </anchor>
              </controlPr>
            </control>
          </mc:Choice>
        </mc:AlternateContent>
        <mc:AlternateContent xmlns:mc="http://schemas.openxmlformats.org/markup-compatibility/2006">
          <mc:Choice Requires="x14">
            <control shapeId="1216" r:id="rId10" name="Button 192">
              <controlPr defaultSize="0" print="0" autoFill="0" autoPict="0" macro="[0]!printallweights">
                <anchor moveWithCells="1">
                  <from>
                    <xdr:col>115</xdr:col>
                    <xdr:colOff>409575</xdr:colOff>
                    <xdr:row>9</xdr:row>
                    <xdr:rowOff>190500</xdr:rowOff>
                  </from>
                  <to>
                    <xdr:col>116</xdr:col>
                    <xdr:colOff>428625</xdr:colOff>
                    <xdr:row>10</xdr:row>
                    <xdr:rowOff>66675</xdr:rowOff>
                  </to>
                </anchor>
              </controlPr>
            </control>
          </mc:Choice>
        </mc:AlternateContent>
        <mc:AlternateContent xmlns:mc="http://schemas.openxmlformats.org/markup-compatibility/2006">
          <mc:Choice Requires="x14">
            <control shapeId="1107" r:id="rId11" name="Drop Down 83">
              <controlPr defaultSize="0" autoLine="0" autoPict="0">
                <anchor moveWithCells="1" sizeWithCells="1">
                  <from>
                    <xdr:col>16</xdr:col>
                    <xdr:colOff>152400</xdr:colOff>
                    <xdr:row>8</xdr:row>
                    <xdr:rowOff>9525</xdr:rowOff>
                  </from>
                  <to>
                    <xdr:col>17</xdr:col>
                    <xdr:colOff>352425</xdr:colOff>
                    <xdr:row>8</xdr:row>
                    <xdr:rowOff>209550</xdr:rowOff>
                  </to>
                </anchor>
              </controlPr>
            </control>
          </mc:Choice>
        </mc:AlternateContent>
        <mc:AlternateContent xmlns:mc="http://schemas.openxmlformats.org/markup-compatibility/2006">
          <mc:Choice Requires="x14">
            <control shapeId="1087" r:id="rId12" name="Button 63">
              <controlPr defaultSize="0" print="0" autoFill="0" autoPict="0" macro="[0]!printmacro">
                <anchor moveWithCells="1" sizeWithCells="1">
                  <from>
                    <xdr:col>5</xdr:col>
                    <xdr:colOff>114300</xdr:colOff>
                    <xdr:row>36</xdr:row>
                    <xdr:rowOff>47625</xdr:rowOff>
                  </from>
                  <to>
                    <xdr:col>6</xdr:col>
                    <xdr:colOff>381000</xdr:colOff>
                    <xdr:row>37</xdr:row>
                    <xdr:rowOff>76200</xdr:rowOff>
                  </to>
                </anchor>
              </controlPr>
            </control>
          </mc:Choice>
        </mc:AlternateContent>
        <mc:AlternateContent xmlns:mc="http://schemas.openxmlformats.org/markup-compatibility/2006">
          <mc:Choice Requires="x14">
            <control shapeId="1131" r:id="rId13" name="Button 107">
              <controlPr defaultSize="0" print="0" autoFill="0" autoPict="0" macro="[0]!clearsheet">
                <anchor moveWithCells="1" sizeWithCells="1">
                  <from>
                    <xdr:col>3</xdr:col>
                    <xdr:colOff>66675</xdr:colOff>
                    <xdr:row>36</xdr:row>
                    <xdr:rowOff>47625</xdr:rowOff>
                  </from>
                  <to>
                    <xdr:col>5</xdr:col>
                    <xdr:colOff>85725</xdr:colOff>
                    <xdr:row>37</xdr:row>
                    <xdr:rowOff>76200</xdr:rowOff>
                  </to>
                </anchor>
              </controlPr>
            </control>
          </mc:Choice>
        </mc:AlternateContent>
        <mc:AlternateContent xmlns:mc="http://schemas.openxmlformats.org/markup-compatibility/2006">
          <mc:Choice Requires="x14">
            <control shapeId="1186" r:id="rId14" name="Button 162">
              <controlPr defaultSize="0" print="0" autoFill="0" autoPict="0" macro="[0]!printall">
                <anchor moveWithCells="1" sizeWithCells="1">
                  <from>
                    <xdr:col>6</xdr:col>
                    <xdr:colOff>409575</xdr:colOff>
                    <xdr:row>36</xdr:row>
                    <xdr:rowOff>47625</xdr:rowOff>
                  </from>
                  <to>
                    <xdr:col>8</xdr:col>
                    <xdr:colOff>19050</xdr:colOff>
                    <xdr:row>37</xdr:row>
                    <xdr:rowOff>76200</xdr:rowOff>
                  </to>
                </anchor>
              </controlPr>
            </control>
          </mc:Choice>
        </mc:AlternateContent>
        <mc:AlternateContent xmlns:mc="http://schemas.openxmlformats.org/markup-compatibility/2006">
          <mc:Choice Requires="x14">
            <control shapeId="1174" r:id="rId15" name="Button 150">
              <controlPr defaultSize="0" print="0" autoFill="0" autoPict="0" macro="[0]!Newsheet">
                <anchor moveWithCells="1" sizeWithCells="1">
                  <from>
                    <xdr:col>1</xdr:col>
                    <xdr:colOff>104775</xdr:colOff>
                    <xdr:row>36</xdr:row>
                    <xdr:rowOff>47625</xdr:rowOff>
                  </from>
                  <to>
                    <xdr:col>1</xdr:col>
                    <xdr:colOff>723900</xdr:colOff>
                    <xdr:row>37</xdr:row>
                    <xdr:rowOff>76200</xdr:rowOff>
                  </to>
                </anchor>
              </controlPr>
            </control>
          </mc:Choice>
        </mc:AlternateContent>
        <mc:AlternateContent xmlns:mc="http://schemas.openxmlformats.org/markup-compatibility/2006">
          <mc:Choice Requires="x14">
            <control shapeId="1175" r:id="rId16" name="Button 151">
              <controlPr defaultSize="0" print="0" autoFill="0" autoPict="0" macro="[0]!Delsheet">
                <anchor moveWithCells="1" sizeWithCells="1">
                  <from>
                    <xdr:col>1</xdr:col>
                    <xdr:colOff>752475</xdr:colOff>
                    <xdr:row>36</xdr:row>
                    <xdr:rowOff>47625</xdr:rowOff>
                  </from>
                  <to>
                    <xdr:col>3</xdr:col>
                    <xdr:colOff>47625</xdr:colOff>
                    <xdr:row>37</xdr:row>
                    <xdr:rowOff>76200</xdr:rowOff>
                  </to>
                </anchor>
              </controlPr>
            </control>
          </mc:Choice>
        </mc:AlternateContent>
        <mc:AlternateContent xmlns:mc="http://schemas.openxmlformats.org/markup-compatibility/2006">
          <mc:Choice Requires="x14">
            <control shapeId="1197" r:id="rId17" name="Button 173">
              <controlPr defaultSize="0" print="0" autoFill="0" autoPict="0" macro="[0]!Export">
                <anchor moveWithCells="1" sizeWithCells="1">
                  <from>
                    <xdr:col>9</xdr:col>
                    <xdr:colOff>381000</xdr:colOff>
                    <xdr:row>36</xdr:row>
                    <xdr:rowOff>47625</xdr:rowOff>
                  </from>
                  <to>
                    <xdr:col>11</xdr:col>
                    <xdr:colOff>95250</xdr:colOff>
                    <xdr:row>37</xdr:row>
                    <xdr:rowOff>76200</xdr:rowOff>
                  </to>
                </anchor>
              </controlPr>
            </control>
          </mc:Choice>
        </mc:AlternateContent>
        <mc:AlternateContent xmlns:mc="http://schemas.openxmlformats.org/markup-compatibility/2006">
          <mc:Choice Requires="x14">
            <control shapeId="1208" r:id="rId18" name="Button 184">
              <controlPr defaultSize="0" print="0" autoFill="0" autoPict="0" macro="[0]!Resetmember">
                <anchor moveWithCells="1" sizeWithCells="1">
                  <from>
                    <xdr:col>11</xdr:col>
                    <xdr:colOff>123825</xdr:colOff>
                    <xdr:row>36</xdr:row>
                    <xdr:rowOff>47625</xdr:rowOff>
                  </from>
                  <to>
                    <xdr:col>12</xdr:col>
                    <xdr:colOff>238125</xdr:colOff>
                    <xdr:row>37</xdr:row>
                    <xdr:rowOff>76200</xdr:rowOff>
                  </to>
                </anchor>
              </controlPr>
            </control>
          </mc:Choice>
        </mc:AlternateContent>
        <mc:AlternateContent xmlns:mc="http://schemas.openxmlformats.org/markup-compatibility/2006">
          <mc:Choice Requires="x14">
            <control shapeId="1209" r:id="rId19" name="Button 185">
              <controlPr defaultSize="0" print="0" autoFill="0" autoPict="0" macro="[0]!barmark_delete">
                <anchor moveWithCells="1" sizeWithCells="1">
                  <from>
                    <xdr:col>12</xdr:col>
                    <xdr:colOff>276225</xdr:colOff>
                    <xdr:row>36</xdr:row>
                    <xdr:rowOff>47625</xdr:rowOff>
                  </from>
                  <to>
                    <xdr:col>13</xdr:col>
                    <xdr:colOff>390525</xdr:colOff>
                    <xdr:row>37</xdr:row>
                    <xdr:rowOff>76200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5:P35"/>
  <sheetViews>
    <sheetView zoomScale="85" workbookViewId="0">
      <selection activeCell="F33" sqref="F33"/>
    </sheetView>
  </sheetViews>
  <sheetFormatPr defaultColWidth="8.85546875" defaultRowHeight="12.75"/>
  <cols>
    <col min="1" max="1" width="2.28515625" style="25" customWidth="1"/>
    <col min="2" max="16" width="5.7109375" style="25" customWidth="1"/>
    <col min="17" max="16384" width="8.85546875" style="25"/>
  </cols>
  <sheetData>
    <row r="5" spans="2:16">
      <c r="B5" s="28">
        <v>1</v>
      </c>
      <c r="C5" s="28">
        <v>2</v>
      </c>
      <c r="D5" s="28">
        <v>3</v>
      </c>
      <c r="E5" s="28">
        <v>4</v>
      </c>
      <c r="F5" s="28">
        <v>5</v>
      </c>
      <c r="G5" s="28">
        <v>6</v>
      </c>
      <c r="H5" s="28">
        <v>7</v>
      </c>
      <c r="I5" s="28">
        <v>8</v>
      </c>
    </row>
    <row r="6" spans="2:16">
      <c r="B6" s="26"/>
      <c r="C6" s="26"/>
      <c r="D6" s="26" t="s">
        <v>128</v>
      </c>
      <c r="E6" s="26" t="s">
        <v>142</v>
      </c>
      <c r="F6" s="26" t="s">
        <v>143</v>
      </c>
      <c r="G6" s="26" t="s">
        <v>144</v>
      </c>
      <c r="H6" s="26" t="s">
        <v>145</v>
      </c>
      <c r="I6" s="26" t="s">
        <v>180</v>
      </c>
      <c r="J6" s="27"/>
      <c r="K6" s="29" t="s">
        <v>191</v>
      </c>
      <c r="L6" s="30"/>
      <c r="M6" s="30"/>
      <c r="N6" s="30"/>
      <c r="O6" s="30"/>
      <c r="P6" s="31"/>
    </row>
    <row r="7" spans="2:16">
      <c r="B7" s="26"/>
      <c r="C7" s="26"/>
      <c r="D7" s="26"/>
      <c r="E7" s="26"/>
      <c r="F7" s="26"/>
      <c r="G7" s="26"/>
      <c r="H7" s="26"/>
      <c r="I7" s="26"/>
      <c r="J7" s="27"/>
      <c r="K7" s="31"/>
      <c r="L7" s="31"/>
      <c r="M7" s="31"/>
      <c r="N7" s="31"/>
      <c r="O7" s="31"/>
      <c r="P7" s="31"/>
    </row>
    <row r="8" spans="2:16">
      <c r="B8" s="26">
        <v>20</v>
      </c>
      <c r="C8" s="26"/>
      <c r="D8" s="26"/>
      <c r="E8" s="26"/>
      <c r="F8" s="26"/>
      <c r="G8" s="26"/>
      <c r="H8" s="26"/>
      <c r="I8" s="26"/>
      <c r="J8" s="27"/>
      <c r="K8" s="31">
        <v>1</v>
      </c>
      <c r="L8" s="31"/>
      <c r="M8" s="31" t="s">
        <v>192</v>
      </c>
      <c r="N8" s="31"/>
      <c r="O8" s="31"/>
      <c r="P8" s="31"/>
    </row>
    <row r="9" spans="2:16">
      <c r="B9" s="26">
        <v>32</v>
      </c>
      <c r="C9" s="26"/>
      <c r="D9" s="26">
        <v>1</v>
      </c>
      <c r="E9" s="26"/>
      <c r="F9" s="26"/>
      <c r="G9" s="26"/>
      <c r="H9" s="26"/>
      <c r="I9" s="26"/>
      <c r="J9" s="27"/>
      <c r="K9" s="31">
        <v>2</v>
      </c>
      <c r="L9" s="31"/>
      <c r="M9" s="31" t="s">
        <v>193</v>
      </c>
      <c r="N9" s="31"/>
      <c r="O9" s="31"/>
      <c r="P9" s="31"/>
    </row>
    <row r="10" spans="2:16">
      <c r="B10" s="26">
        <v>33</v>
      </c>
      <c r="C10" s="26"/>
      <c r="D10" s="26">
        <v>2</v>
      </c>
      <c r="E10" s="26"/>
      <c r="F10" s="26"/>
      <c r="G10" s="26"/>
      <c r="H10" s="26"/>
      <c r="I10" s="26"/>
      <c r="J10" s="27"/>
      <c r="K10" s="31">
        <v>3</v>
      </c>
      <c r="L10" s="31"/>
      <c r="M10" s="31" t="s">
        <v>194</v>
      </c>
      <c r="N10" s="31"/>
      <c r="O10" s="31"/>
      <c r="P10" s="31"/>
    </row>
    <row r="11" spans="2:16">
      <c r="B11" s="26">
        <v>34</v>
      </c>
      <c r="C11" s="26"/>
      <c r="D11" s="26">
        <v>1</v>
      </c>
      <c r="E11" s="26"/>
      <c r="F11" s="26"/>
      <c r="G11" s="26"/>
      <c r="H11" s="26"/>
      <c r="I11" s="26"/>
      <c r="J11" s="27"/>
      <c r="K11" s="31">
        <v>4</v>
      </c>
      <c r="L11" s="31"/>
      <c r="M11" s="31" t="s">
        <v>196</v>
      </c>
      <c r="N11" s="31"/>
      <c r="O11" s="31"/>
      <c r="P11" s="31"/>
    </row>
    <row r="12" spans="2:16">
      <c r="B12" s="26">
        <v>35</v>
      </c>
      <c r="C12" s="26"/>
      <c r="D12" s="26">
        <v>2</v>
      </c>
      <c r="E12" s="26"/>
      <c r="F12" s="26"/>
      <c r="G12" s="26"/>
      <c r="H12" s="26"/>
      <c r="I12" s="26"/>
      <c r="J12" s="27"/>
      <c r="K12" s="31">
        <v>5</v>
      </c>
      <c r="L12" s="31"/>
      <c r="M12" s="31" t="s">
        <v>212</v>
      </c>
      <c r="N12" s="31"/>
      <c r="O12" s="31"/>
      <c r="P12" s="31"/>
    </row>
    <row r="13" spans="2:16">
      <c r="B13" s="26">
        <v>37</v>
      </c>
      <c r="C13" s="26"/>
      <c r="D13" s="26">
        <v>1</v>
      </c>
      <c r="E13" s="26">
        <v>1</v>
      </c>
      <c r="F13" s="26"/>
      <c r="G13" s="26"/>
      <c r="H13" s="26"/>
      <c r="I13" s="26"/>
      <c r="J13" s="27"/>
      <c r="K13" s="31"/>
      <c r="L13" s="31"/>
      <c r="M13" s="31"/>
      <c r="N13" s="31"/>
      <c r="O13" s="31"/>
      <c r="P13" s="31"/>
    </row>
    <row r="14" spans="2:16">
      <c r="B14" s="26">
        <v>38</v>
      </c>
      <c r="C14" s="26"/>
      <c r="D14" s="26">
        <v>1</v>
      </c>
      <c r="E14" s="26">
        <v>2</v>
      </c>
      <c r="F14" s="26">
        <v>1</v>
      </c>
      <c r="G14" s="26"/>
      <c r="H14" s="26"/>
      <c r="I14" s="26"/>
      <c r="J14" s="27"/>
      <c r="K14" s="31"/>
      <c r="L14" s="31"/>
      <c r="M14" s="31"/>
      <c r="N14" s="31"/>
      <c r="O14" s="31"/>
      <c r="P14" s="31"/>
    </row>
    <row r="15" spans="2:16">
      <c r="B15" s="26">
        <v>41</v>
      </c>
      <c r="C15" s="26"/>
      <c r="D15" s="26">
        <v>1</v>
      </c>
      <c r="E15" s="26">
        <v>2</v>
      </c>
      <c r="F15" s="26">
        <v>1</v>
      </c>
      <c r="G15" s="26">
        <v>4</v>
      </c>
      <c r="H15" s="26"/>
      <c r="I15" s="26"/>
      <c r="J15" s="27"/>
    </row>
    <row r="16" spans="2:16">
      <c r="B16" s="26">
        <v>43</v>
      </c>
      <c r="C16" s="26"/>
      <c r="D16" s="26">
        <v>1</v>
      </c>
      <c r="E16" s="26">
        <v>2</v>
      </c>
      <c r="F16" s="26">
        <v>2</v>
      </c>
      <c r="G16" s="26">
        <v>4</v>
      </c>
      <c r="H16" s="26">
        <v>1</v>
      </c>
      <c r="I16" s="26"/>
      <c r="J16" s="27"/>
    </row>
    <row r="17" spans="2:10">
      <c r="B17" s="26">
        <v>51</v>
      </c>
      <c r="C17" s="26"/>
      <c r="D17" s="26">
        <v>1</v>
      </c>
      <c r="E17" s="26">
        <v>1</v>
      </c>
      <c r="F17" s="26"/>
      <c r="G17" s="26"/>
      <c r="H17" s="26"/>
      <c r="I17" s="26">
        <v>3</v>
      </c>
      <c r="J17" s="27"/>
    </row>
    <row r="18" spans="2:10">
      <c r="B18" s="26">
        <v>61</v>
      </c>
      <c r="C18" s="26"/>
      <c r="D18" s="26">
        <v>2</v>
      </c>
      <c r="E18" s="26">
        <v>2</v>
      </c>
      <c r="F18" s="26"/>
      <c r="G18" s="26"/>
      <c r="H18" s="26"/>
      <c r="I18" s="26"/>
      <c r="J18" s="27"/>
    </row>
    <row r="19" spans="2:10">
      <c r="B19" s="26">
        <v>62</v>
      </c>
      <c r="C19" s="26"/>
      <c r="D19" s="26">
        <v>1</v>
      </c>
      <c r="E19" s="26"/>
      <c r="F19" s="26">
        <v>1</v>
      </c>
      <c r="G19" s="26"/>
      <c r="H19" s="26"/>
      <c r="I19" s="26"/>
      <c r="J19" s="27"/>
    </row>
    <row r="20" spans="2:10">
      <c r="B20" s="26">
        <v>82</v>
      </c>
      <c r="C20" s="26"/>
      <c r="D20" s="26">
        <v>2</v>
      </c>
      <c r="E20" s="26">
        <v>5</v>
      </c>
      <c r="F20" s="26"/>
      <c r="G20" s="26"/>
      <c r="H20" s="26"/>
      <c r="I20" s="26"/>
      <c r="J20" s="27"/>
    </row>
    <row r="21" spans="2:10">
      <c r="B21" s="26">
        <v>39</v>
      </c>
      <c r="C21" s="26"/>
      <c r="D21" s="26">
        <v>1</v>
      </c>
      <c r="E21" s="26">
        <v>5</v>
      </c>
      <c r="F21" s="26">
        <v>1</v>
      </c>
      <c r="G21" s="26"/>
      <c r="H21" s="26"/>
      <c r="I21" s="26"/>
      <c r="J21" s="27"/>
    </row>
    <row r="22" spans="2:10">
      <c r="B22" s="26">
        <v>42</v>
      </c>
      <c r="C22" s="26"/>
      <c r="D22" s="26">
        <v>1</v>
      </c>
      <c r="E22" s="26">
        <v>2</v>
      </c>
      <c r="F22" s="26">
        <v>2</v>
      </c>
      <c r="G22" s="26">
        <v>4</v>
      </c>
      <c r="H22" s="26"/>
      <c r="I22" s="26"/>
      <c r="J22" s="27"/>
    </row>
    <row r="23" spans="2:10">
      <c r="B23" s="26">
        <v>45</v>
      </c>
      <c r="C23" s="26"/>
      <c r="D23" s="26">
        <v>1</v>
      </c>
      <c r="E23" s="26">
        <v>2</v>
      </c>
      <c r="F23" s="26">
        <v>1</v>
      </c>
      <c r="G23" s="26">
        <v>4</v>
      </c>
      <c r="H23" s="26"/>
      <c r="I23" s="26"/>
      <c r="J23" s="27"/>
    </row>
    <row r="24" spans="2:10">
      <c r="B24" s="26">
        <v>49</v>
      </c>
      <c r="C24" s="26"/>
      <c r="D24" s="26">
        <v>1</v>
      </c>
      <c r="E24" s="26">
        <v>1</v>
      </c>
      <c r="F24" s="26">
        <v>2</v>
      </c>
      <c r="G24" s="26">
        <v>4</v>
      </c>
      <c r="H24" s="26">
        <v>4</v>
      </c>
      <c r="I24" s="26"/>
      <c r="J24" s="27"/>
    </row>
    <row r="25" spans="2:10">
      <c r="B25" s="26">
        <v>52</v>
      </c>
      <c r="C25" s="26"/>
      <c r="D25" s="26">
        <v>1</v>
      </c>
      <c r="E25" s="26">
        <v>2</v>
      </c>
      <c r="F25" s="26">
        <v>2</v>
      </c>
      <c r="G25" s="26">
        <v>1</v>
      </c>
      <c r="H25" s="26"/>
      <c r="I25" s="26"/>
      <c r="J25" s="27"/>
    </row>
    <row r="26" spans="2:10">
      <c r="B26" s="26">
        <v>53</v>
      </c>
      <c r="C26" s="26"/>
      <c r="D26" s="26">
        <v>1</v>
      </c>
      <c r="E26" s="26">
        <v>2</v>
      </c>
      <c r="F26" s="26">
        <v>2</v>
      </c>
      <c r="G26" s="26">
        <v>2</v>
      </c>
      <c r="H26" s="26">
        <v>1</v>
      </c>
      <c r="I26" s="26"/>
      <c r="J26" s="27"/>
    </row>
    <row r="27" spans="2:10">
      <c r="B27" s="26">
        <v>54</v>
      </c>
      <c r="C27" s="26"/>
      <c r="D27" s="26">
        <v>1</v>
      </c>
      <c r="E27" s="26">
        <v>2</v>
      </c>
      <c r="F27" s="26">
        <v>1</v>
      </c>
      <c r="G27" s="26"/>
      <c r="H27" s="26"/>
      <c r="I27" s="26"/>
      <c r="J27" s="27"/>
    </row>
    <row r="28" spans="2:10">
      <c r="B28" s="26">
        <v>55</v>
      </c>
      <c r="C28" s="26"/>
      <c r="D28" s="26">
        <v>1</v>
      </c>
      <c r="E28" s="26">
        <v>2</v>
      </c>
      <c r="F28" s="26">
        <v>2</v>
      </c>
      <c r="G28" s="26">
        <v>2</v>
      </c>
      <c r="H28" s="26">
        <v>1</v>
      </c>
      <c r="I28" s="26"/>
      <c r="J28" s="27"/>
    </row>
    <row r="29" spans="2:10">
      <c r="B29" s="26">
        <v>65</v>
      </c>
      <c r="C29" s="26"/>
      <c r="D29" s="26"/>
      <c r="E29" s="26"/>
      <c r="F29" s="26"/>
      <c r="G29" s="26"/>
      <c r="H29" s="26"/>
      <c r="I29" s="26">
        <v>3</v>
      </c>
      <c r="J29" s="27"/>
    </row>
    <row r="30" spans="2:10">
      <c r="B30" s="26">
        <v>77</v>
      </c>
      <c r="C30" s="26"/>
      <c r="D30" s="26">
        <v>2</v>
      </c>
      <c r="E30" s="26">
        <v>2</v>
      </c>
      <c r="F30" s="26"/>
      <c r="G30" s="26"/>
      <c r="H30" s="26"/>
      <c r="I30" s="26"/>
      <c r="J30" s="27"/>
    </row>
    <row r="31" spans="2:10">
      <c r="B31" s="26">
        <v>78</v>
      </c>
      <c r="C31" s="26"/>
      <c r="D31" s="26">
        <v>2</v>
      </c>
      <c r="E31" s="26">
        <v>2</v>
      </c>
      <c r="F31" s="26">
        <v>1</v>
      </c>
      <c r="G31" s="26"/>
      <c r="H31" s="26"/>
      <c r="I31" s="26"/>
      <c r="J31" s="27"/>
    </row>
    <row r="32" spans="2:10">
      <c r="B32" s="26">
        <v>79</v>
      </c>
      <c r="C32" s="26"/>
      <c r="D32" s="26">
        <v>2</v>
      </c>
      <c r="E32" s="26">
        <v>2</v>
      </c>
      <c r="F32" s="26"/>
      <c r="G32" s="26"/>
      <c r="H32" s="26"/>
      <c r="I32" s="26"/>
      <c r="J32" s="27"/>
    </row>
    <row r="33" spans="2:10">
      <c r="B33" s="26">
        <v>85</v>
      </c>
      <c r="C33" s="26"/>
      <c r="D33" s="26">
        <v>1</v>
      </c>
      <c r="E33" s="26">
        <v>2</v>
      </c>
      <c r="F33" s="26">
        <v>5</v>
      </c>
      <c r="G33" s="26">
        <v>1</v>
      </c>
      <c r="H33" s="26"/>
      <c r="I33" s="26"/>
      <c r="J33" s="27"/>
    </row>
    <row r="34" spans="2:10">
      <c r="B34" s="26">
        <v>87</v>
      </c>
      <c r="C34" s="26"/>
      <c r="D34" s="26"/>
      <c r="E34" s="26"/>
      <c r="F34" s="26"/>
      <c r="G34" s="26"/>
      <c r="H34" s="26"/>
      <c r="I34" s="26"/>
      <c r="J34" s="27"/>
    </row>
    <row r="35" spans="2:10">
      <c r="B35" s="26">
        <v>99</v>
      </c>
      <c r="C35" s="26"/>
      <c r="D35" s="26"/>
      <c r="E35" s="26"/>
      <c r="F35" s="26"/>
      <c r="G35" s="26"/>
      <c r="H35" s="26"/>
      <c r="I35" s="26"/>
    </row>
  </sheetData>
  <phoneticPr fontId="10"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99"/>
  <sheetViews>
    <sheetView workbookViewId="0"/>
  </sheetViews>
  <sheetFormatPr defaultColWidth="6.28515625" defaultRowHeight="12.75"/>
  <sheetData>
    <row r="1" spans="1:1">
      <c r="A1" s="24">
        <v>1</v>
      </c>
    </row>
    <row r="2" spans="1:1">
      <c r="A2" s="24">
        <v>2</v>
      </c>
    </row>
    <row r="3" spans="1:1">
      <c r="A3" s="24">
        <v>3</v>
      </c>
    </row>
    <row r="4" spans="1:1">
      <c r="A4" s="24">
        <v>4</v>
      </c>
    </row>
    <row r="5" spans="1:1">
      <c r="A5" s="24">
        <v>5</v>
      </c>
    </row>
    <row r="6" spans="1:1">
      <c r="A6" s="24">
        <v>6</v>
      </c>
    </row>
    <row r="7" spans="1:1">
      <c r="A7" s="24">
        <v>7</v>
      </c>
    </row>
    <row r="8" spans="1:1">
      <c r="A8" s="24">
        <v>8</v>
      </c>
    </row>
    <row r="9" spans="1:1">
      <c r="A9" s="24">
        <v>9</v>
      </c>
    </row>
    <row r="10" spans="1:1">
      <c r="A10" s="24">
        <v>10</v>
      </c>
    </row>
    <row r="11" spans="1:1">
      <c r="A11" s="24">
        <v>11</v>
      </c>
    </row>
    <row r="12" spans="1:1">
      <c r="A12" s="24">
        <v>12</v>
      </c>
    </row>
    <row r="13" spans="1:1">
      <c r="A13" s="24">
        <v>13</v>
      </c>
    </row>
    <row r="14" spans="1:1">
      <c r="A14" s="24">
        <v>14</v>
      </c>
    </row>
    <row r="15" spans="1:1">
      <c r="A15" s="24">
        <v>15</v>
      </c>
    </row>
    <row r="16" spans="1:1">
      <c r="A16" s="24">
        <v>16</v>
      </c>
    </row>
    <row r="17" spans="1:1">
      <c r="A17" s="24">
        <v>17</v>
      </c>
    </row>
    <row r="18" spans="1:1">
      <c r="A18" s="24">
        <v>18</v>
      </c>
    </row>
    <row r="19" spans="1:1">
      <c r="A19" s="24">
        <v>19</v>
      </c>
    </row>
    <row r="20" spans="1:1">
      <c r="A20" s="24">
        <v>20</v>
      </c>
    </row>
    <row r="21" spans="1:1">
      <c r="A21" s="24">
        <v>21</v>
      </c>
    </row>
    <row r="22" spans="1:1">
      <c r="A22" s="24">
        <v>22</v>
      </c>
    </row>
    <row r="23" spans="1:1">
      <c r="A23" s="24">
        <v>23</v>
      </c>
    </row>
    <row r="24" spans="1:1">
      <c r="A24" s="24">
        <v>24</v>
      </c>
    </row>
    <row r="25" spans="1:1">
      <c r="A25" s="24">
        <v>25</v>
      </c>
    </row>
    <row r="26" spans="1:1">
      <c r="A26" s="24">
        <v>26</v>
      </c>
    </row>
    <row r="27" spans="1:1">
      <c r="A27" s="24">
        <v>27</v>
      </c>
    </row>
    <row r="28" spans="1:1">
      <c r="A28" s="24">
        <v>28</v>
      </c>
    </row>
    <row r="29" spans="1:1">
      <c r="A29" s="24">
        <v>29</v>
      </c>
    </row>
    <row r="30" spans="1:1">
      <c r="A30" s="24">
        <v>30</v>
      </c>
    </row>
    <row r="31" spans="1:1">
      <c r="A31" s="24">
        <v>31</v>
      </c>
    </row>
    <row r="32" spans="1:1">
      <c r="A32" s="24">
        <v>32</v>
      </c>
    </row>
    <row r="33" spans="1:1">
      <c r="A33" s="24">
        <v>33</v>
      </c>
    </row>
    <row r="34" spans="1:1">
      <c r="A34" s="24">
        <v>34</v>
      </c>
    </row>
    <row r="35" spans="1:1">
      <c r="A35" s="24">
        <v>35</v>
      </c>
    </row>
    <row r="36" spans="1:1">
      <c r="A36" s="24">
        <v>36</v>
      </c>
    </row>
    <row r="37" spans="1:1">
      <c r="A37" s="24">
        <v>37</v>
      </c>
    </row>
    <row r="38" spans="1:1">
      <c r="A38" s="24">
        <v>38</v>
      </c>
    </row>
    <row r="39" spans="1:1">
      <c r="A39" s="24">
        <v>39</v>
      </c>
    </row>
    <row r="40" spans="1:1">
      <c r="A40" s="24">
        <v>40</v>
      </c>
    </row>
    <row r="41" spans="1:1">
      <c r="A41" s="24">
        <v>41</v>
      </c>
    </row>
    <row r="42" spans="1:1">
      <c r="A42" s="24">
        <v>42</v>
      </c>
    </row>
    <row r="43" spans="1:1">
      <c r="A43" s="24">
        <v>43</v>
      </c>
    </row>
    <row r="44" spans="1:1">
      <c r="A44" s="24">
        <v>44</v>
      </c>
    </row>
    <row r="45" spans="1:1">
      <c r="A45" s="24">
        <v>45</v>
      </c>
    </row>
    <row r="46" spans="1:1">
      <c r="A46" s="24">
        <v>46</v>
      </c>
    </row>
    <row r="47" spans="1:1">
      <c r="A47" s="24">
        <v>47</v>
      </c>
    </row>
    <row r="48" spans="1:1">
      <c r="A48" s="24">
        <v>48</v>
      </c>
    </row>
    <row r="49" spans="1:1">
      <c r="A49" s="24">
        <v>49</v>
      </c>
    </row>
    <row r="50" spans="1:1">
      <c r="A50" s="24">
        <v>50</v>
      </c>
    </row>
    <row r="51" spans="1:1">
      <c r="A51" s="24">
        <v>51</v>
      </c>
    </row>
    <row r="52" spans="1:1">
      <c r="A52" s="24">
        <v>52</v>
      </c>
    </row>
    <row r="53" spans="1:1">
      <c r="A53" s="24">
        <v>53</v>
      </c>
    </row>
    <row r="54" spans="1:1">
      <c r="A54" s="24">
        <v>54</v>
      </c>
    </row>
    <row r="55" spans="1:1">
      <c r="A55" s="24">
        <v>55</v>
      </c>
    </row>
    <row r="56" spans="1:1">
      <c r="A56" s="24">
        <v>56</v>
      </c>
    </row>
    <row r="57" spans="1:1">
      <c r="A57" s="24">
        <v>57</v>
      </c>
    </row>
    <row r="58" spans="1:1">
      <c r="A58" s="24">
        <v>58</v>
      </c>
    </row>
    <row r="59" spans="1:1">
      <c r="A59" s="24">
        <v>59</v>
      </c>
    </row>
    <row r="60" spans="1:1">
      <c r="A60" s="24">
        <v>60</v>
      </c>
    </row>
    <row r="61" spans="1:1">
      <c r="A61" s="24">
        <v>61</v>
      </c>
    </row>
    <row r="62" spans="1:1">
      <c r="A62" s="24">
        <v>62</v>
      </c>
    </row>
    <row r="63" spans="1:1">
      <c r="A63" s="24">
        <v>63</v>
      </c>
    </row>
    <row r="64" spans="1:1">
      <c r="A64" s="24">
        <v>64</v>
      </c>
    </row>
    <row r="65" spans="1:1">
      <c r="A65" s="24">
        <v>65</v>
      </c>
    </row>
    <row r="66" spans="1:1">
      <c r="A66" s="24">
        <v>66</v>
      </c>
    </row>
    <row r="67" spans="1:1">
      <c r="A67" s="24">
        <v>67</v>
      </c>
    </row>
    <row r="68" spans="1:1">
      <c r="A68" s="24">
        <v>68</v>
      </c>
    </row>
    <row r="69" spans="1:1">
      <c r="A69" s="24">
        <v>69</v>
      </c>
    </row>
    <row r="70" spans="1:1">
      <c r="A70" s="24">
        <v>70</v>
      </c>
    </row>
    <row r="71" spans="1:1">
      <c r="A71" s="24">
        <v>71</v>
      </c>
    </row>
    <row r="72" spans="1:1">
      <c r="A72" s="24">
        <v>72</v>
      </c>
    </row>
    <row r="73" spans="1:1">
      <c r="A73" s="24">
        <v>73</v>
      </c>
    </row>
    <row r="74" spans="1:1">
      <c r="A74" s="24">
        <v>74</v>
      </c>
    </row>
    <row r="75" spans="1:1">
      <c r="A75" s="24">
        <v>75</v>
      </c>
    </row>
    <row r="76" spans="1:1">
      <c r="A76" s="24">
        <v>76</v>
      </c>
    </row>
    <row r="77" spans="1:1">
      <c r="A77" s="24">
        <v>77</v>
      </c>
    </row>
    <row r="78" spans="1:1">
      <c r="A78" s="24">
        <v>78</v>
      </c>
    </row>
    <row r="79" spans="1:1">
      <c r="A79" s="24">
        <v>79</v>
      </c>
    </row>
    <row r="80" spans="1:1">
      <c r="A80" s="24">
        <v>80</v>
      </c>
    </row>
    <row r="81" spans="1:1">
      <c r="A81" s="24">
        <v>81</v>
      </c>
    </row>
    <row r="82" spans="1:1">
      <c r="A82" s="24">
        <v>82</v>
      </c>
    </row>
    <row r="83" spans="1:1">
      <c r="A83" s="24">
        <v>83</v>
      </c>
    </row>
    <row r="84" spans="1:1">
      <c r="A84" s="24">
        <v>84</v>
      </c>
    </row>
    <row r="85" spans="1:1">
      <c r="A85" s="24">
        <v>85</v>
      </c>
    </row>
    <row r="86" spans="1:1">
      <c r="A86" s="24">
        <v>86</v>
      </c>
    </row>
    <row r="87" spans="1:1">
      <c r="A87" s="24">
        <v>87</v>
      </c>
    </row>
    <row r="88" spans="1:1">
      <c r="A88" s="24">
        <v>88</v>
      </c>
    </row>
    <row r="89" spans="1:1">
      <c r="A89" s="24">
        <v>89</v>
      </c>
    </row>
    <row r="90" spans="1:1">
      <c r="A90" s="24">
        <v>90</v>
      </c>
    </row>
    <row r="91" spans="1:1">
      <c r="A91" s="24">
        <v>91</v>
      </c>
    </row>
    <row r="92" spans="1:1">
      <c r="A92" s="24">
        <v>92</v>
      </c>
    </row>
    <row r="93" spans="1:1">
      <c r="A93" s="24">
        <v>93</v>
      </c>
    </row>
    <row r="94" spans="1:1">
      <c r="A94" s="24">
        <v>94</v>
      </c>
    </row>
    <row r="95" spans="1:1">
      <c r="A95" s="24">
        <v>95</v>
      </c>
    </row>
    <row r="96" spans="1:1">
      <c r="A96" s="24">
        <v>96</v>
      </c>
    </row>
    <row r="97" spans="1:1">
      <c r="A97" s="24">
        <v>97</v>
      </c>
    </row>
    <row r="98" spans="1:1">
      <c r="A98" s="24">
        <v>98</v>
      </c>
    </row>
    <row r="99" spans="1:1">
      <c r="A99" s="24">
        <v>99</v>
      </c>
    </row>
  </sheetData>
  <phoneticPr fontId="1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D3:AA64"/>
  <sheetViews>
    <sheetView showGridLines="0" showRowColHeaders="0" topLeftCell="A4" zoomScale="70" zoomScaleNormal="70" workbookViewId="0">
      <selection activeCell="Q55" sqref="Q55"/>
    </sheetView>
  </sheetViews>
  <sheetFormatPr defaultColWidth="8.85546875" defaultRowHeight="12.75"/>
  <cols>
    <col min="1" max="16384" width="8.85546875" style="40"/>
  </cols>
  <sheetData>
    <row r="3" spans="4:24" ht="15.75">
      <c r="P3" s="302" t="s">
        <v>67</v>
      </c>
      <c r="Q3" s="303"/>
      <c r="R3" s="303"/>
      <c r="S3" s="303"/>
      <c r="T3" s="303"/>
      <c r="U3" s="303"/>
      <c r="V3" s="303"/>
      <c r="W3" s="303"/>
      <c r="X3" s="303"/>
    </row>
    <row r="4" spans="4:24">
      <c r="P4" s="304" t="s">
        <v>62</v>
      </c>
      <c r="Q4" s="305" t="s">
        <v>63</v>
      </c>
      <c r="R4" s="306"/>
      <c r="S4" s="307"/>
      <c r="T4" s="307"/>
      <c r="U4" s="305" t="s">
        <v>64</v>
      </c>
      <c r="V4" s="306"/>
      <c r="W4" s="306"/>
      <c r="X4" s="306"/>
    </row>
    <row r="5" spans="4:24" ht="23.45" customHeight="1">
      <c r="P5" s="370" t="s">
        <v>122</v>
      </c>
      <c r="Q5" s="372" t="s">
        <v>123</v>
      </c>
      <c r="R5" s="377" t="s">
        <v>124</v>
      </c>
      <c r="S5" s="377" t="s">
        <v>125</v>
      </c>
      <c r="T5" s="308" t="s">
        <v>65</v>
      </c>
      <c r="U5" s="372" t="s">
        <v>123</v>
      </c>
      <c r="V5" s="377" t="s">
        <v>124</v>
      </c>
      <c r="W5" s="377" t="s">
        <v>125</v>
      </c>
      <c r="X5" s="309" t="s">
        <v>65</v>
      </c>
    </row>
    <row r="6" spans="4:24" ht="13.5" thickBot="1">
      <c r="P6" s="371"/>
      <c r="Q6" s="373"/>
      <c r="R6" s="378"/>
      <c r="S6" s="378"/>
      <c r="T6" s="310" t="s">
        <v>66</v>
      </c>
      <c r="U6" s="373"/>
      <c r="V6" s="378"/>
      <c r="W6" s="378"/>
      <c r="X6" s="311" t="s">
        <v>66</v>
      </c>
    </row>
    <row r="7" spans="4:24" ht="13.5" thickTop="1">
      <c r="P7" s="312">
        <v>6</v>
      </c>
      <c r="Q7" s="313">
        <v>12</v>
      </c>
      <c r="R7" s="314">
        <v>100</v>
      </c>
      <c r="S7" s="315">
        <v>100</v>
      </c>
      <c r="T7" s="315">
        <v>60</v>
      </c>
      <c r="U7" s="313">
        <v>18</v>
      </c>
      <c r="V7" s="314">
        <v>100</v>
      </c>
      <c r="W7" s="314">
        <v>100</v>
      </c>
      <c r="X7" s="314">
        <v>75</v>
      </c>
    </row>
    <row r="8" spans="4:24">
      <c r="P8" s="316">
        <v>8</v>
      </c>
      <c r="Q8" s="317">
        <v>16</v>
      </c>
      <c r="R8" s="314">
        <v>100</v>
      </c>
      <c r="S8" s="319">
        <v>100</v>
      </c>
      <c r="T8" s="319">
        <v>80</v>
      </c>
      <c r="U8" s="317">
        <v>24</v>
      </c>
      <c r="V8" s="314">
        <v>100</v>
      </c>
      <c r="W8" s="318">
        <v>100</v>
      </c>
      <c r="X8" s="318">
        <v>100</v>
      </c>
    </row>
    <row r="9" spans="4:24">
      <c r="P9" s="316">
        <v>10</v>
      </c>
      <c r="Q9" s="317">
        <v>20</v>
      </c>
      <c r="R9" s="314">
        <v>100</v>
      </c>
      <c r="S9" s="319">
        <v>100</v>
      </c>
      <c r="T9" s="319">
        <v>100</v>
      </c>
      <c r="U9" s="317">
        <v>30</v>
      </c>
      <c r="V9" s="314">
        <v>100</v>
      </c>
      <c r="W9" s="318">
        <v>110</v>
      </c>
      <c r="X9" s="318">
        <v>120</v>
      </c>
    </row>
    <row r="10" spans="4:24">
      <c r="P10" s="316">
        <v>12</v>
      </c>
      <c r="Q10" s="317">
        <v>24</v>
      </c>
      <c r="R10" s="314">
        <v>100</v>
      </c>
      <c r="S10" s="319">
        <v>110</v>
      </c>
      <c r="T10" s="319">
        <v>120</v>
      </c>
      <c r="U10" s="317">
        <v>36</v>
      </c>
      <c r="V10" s="314">
        <v>100</v>
      </c>
      <c r="W10" s="318">
        <v>140</v>
      </c>
      <c r="X10" s="318">
        <v>145</v>
      </c>
    </row>
    <row r="11" spans="4:24">
      <c r="P11" s="316">
        <v>16</v>
      </c>
      <c r="Q11" s="317">
        <v>32</v>
      </c>
      <c r="R11" s="314">
        <v>100</v>
      </c>
      <c r="S11" s="319">
        <v>150</v>
      </c>
      <c r="T11" s="319">
        <v>160</v>
      </c>
      <c r="U11" s="317">
        <v>48</v>
      </c>
      <c r="V11" s="314">
        <v>100</v>
      </c>
      <c r="W11" s="318">
        <v>180</v>
      </c>
      <c r="X11" s="318">
        <v>195</v>
      </c>
    </row>
    <row r="12" spans="4:24">
      <c r="P12" s="316">
        <v>20</v>
      </c>
      <c r="Q12" s="317">
        <v>40</v>
      </c>
      <c r="R12" s="314">
        <v>100</v>
      </c>
      <c r="S12" s="319">
        <v>180</v>
      </c>
      <c r="T12" s="319">
        <v>200</v>
      </c>
      <c r="U12" s="317">
        <v>60</v>
      </c>
      <c r="V12" s="318">
        <v>110</v>
      </c>
      <c r="W12" s="318">
        <v>220</v>
      </c>
      <c r="X12" s="318">
        <v>240</v>
      </c>
    </row>
    <row r="13" spans="4:24">
      <c r="P13" s="316">
        <v>25</v>
      </c>
      <c r="Q13" s="317">
        <v>50</v>
      </c>
      <c r="R13" s="318">
        <v>130</v>
      </c>
      <c r="S13" s="319">
        <v>230</v>
      </c>
      <c r="T13" s="319">
        <v>250</v>
      </c>
      <c r="U13" s="317">
        <v>100</v>
      </c>
      <c r="V13" s="318">
        <v>180</v>
      </c>
      <c r="W13" s="318">
        <v>350</v>
      </c>
      <c r="X13" s="318">
        <v>350</v>
      </c>
    </row>
    <row r="14" spans="4:24">
      <c r="P14" s="316">
        <v>32</v>
      </c>
      <c r="Q14" s="317">
        <v>64</v>
      </c>
      <c r="R14" s="318">
        <v>160</v>
      </c>
      <c r="S14" s="319">
        <v>290</v>
      </c>
      <c r="T14" s="319">
        <v>320</v>
      </c>
      <c r="U14" s="317">
        <v>128</v>
      </c>
      <c r="V14" s="318">
        <v>230</v>
      </c>
      <c r="W14" s="318">
        <v>450</v>
      </c>
      <c r="X14" s="318">
        <v>450</v>
      </c>
    </row>
    <row r="15" spans="4:24" ht="13.9" customHeight="1">
      <c r="D15" s="39" t="s">
        <v>224</v>
      </c>
      <c r="P15" s="316">
        <v>40</v>
      </c>
      <c r="Q15" s="317">
        <v>80</v>
      </c>
      <c r="R15" s="318">
        <v>200</v>
      </c>
      <c r="S15" s="319">
        <v>360</v>
      </c>
      <c r="T15" s="319">
        <v>400</v>
      </c>
      <c r="U15" s="317">
        <v>160</v>
      </c>
      <c r="V15" s="318">
        <v>280</v>
      </c>
      <c r="W15" s="318">
        <v>560</v>
      </c>
      <c r="X15" s="318">
        <v>560</v>
      </c>
    </row>
    <row r="16" spans="4:24">
      <c r="P16" s="316">
        <v>50</v>
      </c>
      <c r="Q16" s="317">
        <v>100</v>
      </c>
      <c r="R16" s="318">
        <v>250</v>
      </c>
      <c r="S16" s="319">
        <v>450</v>
      </c>
      <c r="T16" s="319">
        <v>500</v>
      </c>
      <c r="U16" s="317">
        <v>200</v>
      </c>
      <c r="V16" s="318">
        <v>350</v>
      </c>
      <c r="W16" s="318">
        <v>700</v>
      </c>
      <c r="X16" s="318">
        <v>700</v>
      </c>
    </row>
    <row r="17" spans="16:27">
      <c r="X17" s="194" t="s">
        <v>68</v>
      </c>
    </row>
    <row r="20" spans="16:27" ht="15.75">
      <c r="P20" s="320" t="s">
        <v>69</v>
      </c>
      <c r="Q20" s="321"/>
      <c r="R20" s="321"/>
      <c r="S20" s="321"/>
      <c r="T20" s="321"/>
      <c r="V20" s="374" t="s">
        <v>70</v>
      </c>
      <c r="W20" s="375"/>
      <c r="X20" s="375"/>
      <c r="Y20" s="375"/>
      <c r="Z20" s="375"/>
      <c r="AA20" s="376"/>
    </row>
    <row r="21" spans="16:27">
      <c r="P21" s="379" t="s">
        <v>71</v>
      </c>
      <c r="Q21" s="380"/>
      <c r="R21" s="381"/>
      <c r="S21" s="384" t="s">
        <v>82</v>
      </c>
      <c r="T21" s="386" t="s">
        <v>85</v>
      </c>
      <c r="V21" s="387" t="s">
        <v>72</v>
      </c>
      <c r="W21" s="387"/>
      <c r="X21" s="387" t="s">
        <v>73</v>
      </c>
      <c r="Y21" s="389"/>
      <c r="Z21" s="391" t="s">
        <v>74</v>
      </c>
      <c r="AA21" s="392"/>
    </row>
    <row r="22" spans="16:27" ht="13.5" thickBot="1">
      <c r="P22" s="382"/>
      <c r="Q22" s="382"/>
      <c r="R22" s="383"/>
      <c r="S22" s="385"/>
      <c r="T22" s="382"/>
      <c r="V22" s="388"/>
      <c r="W22" s="388"/>
      <c r="X22" s="388"/>
      <c r="Y22" s="390"/>
      <c r="Z22" s="393"/>
      <c r="AA22" s="394"/>
    </row>
    <row r="23" spans="16:27" ht="13.5" thickTop="1">
      <c r="P23" s="395" t="s">
        <v>86</v>
      </c>
      <c r="Q23" s="396"/>
      <c r="R23" s="397"/>
      <c r="S23" s="398" t="s">
        <v>75</v>
      </c>
      <c r="T23" s="400" t="s">
        <v>75</v>
      </c>
      <c r="V23" s="395" t="s">
        <v>76</v>
      </c>
      <c r="W23" s="395"/>
      <c r="X23" s="402" t="s">
        <v>77</v>
      </c>
      <c r="Y23" s="403"/>
      <c r="Z23" s="404">
        <v>10</v>
      </c>
      <c r="AA23" s="405"/>
    </row>
    <row r="24" spans="16:27">
      <c r="P24" s="380"/>
      <c r="Q24" s="380"/>
      <c r="R24" s="381"/>
      <c r="S24" s="399"/>
      <c r="T24" s="401"/>
      <c r="V24" s="379"/>
      <c r="W24" s="379"/>
      <c r="X24" s="406" t="s">
        <v>78</v>
      </c>
      <c r="Y24" s="407"/>
      <c r="Z24" s="408">
        <v>15</v>
      </c>
      <c r="AA24" s="409"/>
    </row>
    <row r="25" spans="16:27">
      <c r="P25" s="379" t="s">
        <v>87</v>
      </c>
      <c r="Q25" s="380"/>
      <c r="R25" s="381"/>
      <c r="S25" s="410" t="s">
        <v>83</v>
      </c>
      <c r="T25" s="411" t="s">
        <v>84</v>
      </c>
      <c r="V25" s="379"/>
      <c r="W25" s="379"/>
      <c r="X25" s="406" t="s">
        <v>79</v>
      </c>
      <c r="Y25" s="407"/>
      <c r="Z25" s="408">
        <v>20</v>
      </c>
      <c r="AA25" s="409"/>
    </row>
    <row r="26" spans="16:27">
      <c r="P26" s="380"/>
      <c r="Q26" s="380"/>
      <c r="R26" s="381"/>
      <c r="S26" s="399"/>
      <c r="T26" s="401"/>
      <c r="V26" s="322" t="s">
        <v>80</v>
      </c>
      <c r="W26" s="322"/>
      <c r="X26" s="406" t="s">
        <v>81</v>
      </c>
      <c r="Y26" s="407"/>
      <c r="Z26" s="408">
        <v>40</v>
      </c>
      <c r="AA26" s="409"/>
    </row>
    <row r="43" spans="9:9">
      <c r="I43" s="193"/>
    </row>
    <row r="54" spans="13:14">
      <c r="M54" s="194" t="s">
        <v>247</v>
      </c>
    </row>
    <row r="64" spans="13:14">
      <c r="N64" s="183"/>
    </row>
  </sheetData>
  <sheetProtection password="FD2D" sheet="1" objects="1"/>
  <mergeCells count="29">
    <mergeCell ref="X26:Y26"/>
    <mergeCell ref="Z26:AA26"/>
    <mergeCell ref="P25:R26"/>
    <mergeCell ref="S25:S26"/>
    <mergeCell ref="T25:T26"/>
    <mergeCell ref="X25:Y25"/>
    <mergeCell ref="P23:R24"/>
    <mergeCell ref="S23:S24"/>
    <mergeCell ref="T23:T24"/>
    <mergeCell ref="V23:W25"/>
    <mergeCell ref="X23:Y23"/>
    <mergeCell ref="Z23:AA23"/>
    <mergeCell ref="X24:Y24"/>
    <mergeCell ref="Z24:AA24"/>
    <mergeCell ref="Z25:AA25"/>
    <mergeCell ref="P21:R22"/>
    <mergeCell ref="S21:S22"/>
    <mergeCell ref="T21:T22"/>
    <mergeCell ref="V21:W22"/>
    <mergeCell ref="X21:Y22"/>
    <mergeCell ref="Z21:AA22"/>
    <mergeCell ref="P5:P6"/>
    <mergeCell ref="Q5:Q6"/>
    <mergeCell ref="U5:U6"/>
    <mergeCell ref="V20:AA20"/>
    <mergeCell ref="R5:R6"/>
    <mergeCell ref="S5:S6"/>
    <mergeCell ref="V5:V6"/>
    <mergeCell ref="W5:W6"/>
  </mergeCells>
  <phoneticPr fontId="10" type="noConversion"/>
  <pageMargins left="0.75" right="0.75" top="1" bottom="1" header="0.5" footer="0.5"/>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G33"/>
  <sheetViews>
    <sheetView showGridLines="0" showRowColHeaders="0" zoomScale="85" workbookViewId="0"/>
  </sheetViews>
  <sheetFormatPr defaultColWidth="8.85546875" defaultRowHeight="12.75"/>
  <cols>
    <col min="1" max="1" width="6.7109375" style="38" customWidth="1"/>
    <col min="2" max="3" width="30.7109375" style="38" customWidth="1"/>
    <col min="4" max="4" width="12.7109375" style="38" customWidth="1"/>
    <col min="5" max="5" width="6.7109375" style="38" customWidth="1"/>
    <col min="6" max="7" width="17.28515625" style="38" customWidth="1"/>
    <col min="8" max="16384" width="8.85546875" style="38"/>
  </cols>
  <sheetData>
    <row r="1" spans="2:7" ht="27">
      <c r="B1" s="412" t="s">
        <v>246</v>
      </c>
      <c r="C1" s="412"/>
      <c r="D1" s="412"/>
      <c r="E1" s="293"/>
    </row>
    <row r="4" spans="2:7">
      <c r="B4" s="419" t="s">
        <v>169</v>
      </c>
      <c r="C4" s="421" t="s">
        <v>170</v>
      </c>
      <c r="D4" s="423" t="s">
        <v>171</v>
      </c>
    </row>
    <row r="5" spans="2:7">
      <c r="B5" s="420"/>
      <c r="C5" s="422"/>
      <c r="D5" s="424"/>
    </row>
    <row r="6" spans="2:7">
      <c r="C6" s="294"/>
      <c r="D6" s="294"/>
    </row>
    <row r="7" spans="2:7" ht="15" customHeight="1">
      <c r="B7" s="184" t="s">
        <v>176</v>
      </c>
      <c r="C7" s="185">
        <v>990001</v>
      </c>
      <c r="D7" s="186" t="s">
        <v>130</v>
      </c>
      <c r="F7" s="413" t="s">
        <v>320</v>
      </c>
      <c r="G7" s="414"/>
    </row>
    <row r="8" spans="2:7" ht="15" customHeight="1">
      <c r="B8" s="184" t="s">
        <v>172</v>
      </c>
      <c r="C8" s="185">
        <v>990002</v>
      </c>
      <c r="D8" s="186" t="s">
        <v>173</v>
      </c>
      <c r="F8" s="415"/>
      <c r="G8" s="416"/>
    </row>
    <row r="9" spans="2:7" ht="15" customHeight="1">
      <c r="B9" s="184" t="s">
        <v>174</v>
      </c>
      <c r="C9" s="185">
        <v>990003</v>
      </c>
      <c r="D9" s="186" t="s">
        <v>175</v>
      </c>
      <c r="F9" s="415"/>
      <c r="G9" s="416"/>
    </row>
    <row r="10" spans="2:7" ht="15" customHeight="1">
      <c r="B10" s="184"/>
      <c r="C10" s="185"/>
      <c r="D10" s="186"/>
      <c r="F10" s="415"/>
      <c r="G10" s="416"/>
    </row>
    <row r="11" spans="2:7" ht="15" customHeight="1">
      <c r="B11" s="184"/>
      <c r="C11" s="185"/>
      <c r="D11" s="186"/>
      <c r="F11" s="415"/>
      <c r="G11" s="416"/>
    </row>
    <row r="12" spans="2:7" ht="15" customHeight="1">
      <c r="B12" s="184"/>
      <c r="C12" s="185"/>
      <c r="D12" s="186"/>
      <c r="F12" s="415"/>
      <c r="G12" s="416"/>
    </row>
    <row r="13" spans="2:7" ht="15" customHeight="1">
      <c r="B13" s="184"/>
      <c r="C13" s="185"/>
      <c r="D13" s="186"/>
      <c r="F13" s="415"/>
      <c r="G13" s="416"/>
    </row>
    <row r="14" spans="2:7" ht="15" customHeight="1">
      <c r="B14" s="184"/>
      <c r="C14" s="185"/>
      <c r="D14" s="186"/>
      <c r="F14" s="415"/>
      <c r="G14" s="416"/>
    </row>
    <row r="15" spans="2:7" ht="15" customHeight="1">
      <c r="B15" s="184"/>
      <c r="C15" s="185"/>
      <c r="D15" s="186"/>
      <c r="F15" s="417"/>
      <c r="G15" s="418"/>
    </row>
    <row r="16" spans="2:7" ht="15" customHeight="1">
      <c r="B16" s="184"/>
      <c r="C16" s="185"/>
      <c r="D16" s="186"/>
    </row>
    <row r="17" spans="1:4" ht="15" customHeight="1">
      <c r="B17" s="184"/>
      <c r="C17" s="185"/>
      <c r="D17" s="186"/>
    </row>
    <row r="18" spans="1:4" ht="15" customHeight="1">
      <c r="B18" s="184"/>
      <c r="C18" s="185"/>
      <c r="D18" s="186"/>
    </row>
    <row r="19" spans="1:4" ht="15" customHeight="1">
      <c r="B19" s="184"/>
      <c r="C19" s="185"/>
      <c r="D19" s="186"/>
    </row>
    <row r="20" spans="1:4" ht="15" customHeight="1">
      <c r="B20" s="184"/>
      <c r="C20" s="185"/>
      <c r="D20" s="186"/>
    </row>
    <row r="21" spans="1:4" ht="15" customHeight="1">
      <c r="B21" s="184"/>
      <c r="C21" s="185"/>
      <c r="D21" s="186"/>
    </row>
    <row r="22" spans="1:4" ht="15" customHeight="1">
      <c r="B22" s="184"/>
      <c r="C22" s="185"/>
      <c r="D22" s="186"/>
    </row>
    <row r="23" spans="1:4" ht="15" customHeight="1">
      <c r="B23" s="184"/>
      <c r="C23" s="185"/>
      <c r="D23" s="186"/>
    </row>
    <row r="24" spans="1:4" ht="15" customHeight="1">
      <c r="B24" s="184"/>
      <c r="C24" s="185"/>
      <c r="D24" s="186"/>
    </row>
    <row r="25" spans="1:4" ht="15" customHeight="1">
      <c r="B25" s="184"/>
      <c r="C25" s="185"/>
      <c r="D25" s="186"/>
    </row>
    <row r="26" spans="1:4" ht="15" customHeight="1">
      <c r="B26" s="184"/>
      <c r="C26" s="185"/>
      <c r="D26" s="186"/>
    </row>
    <row r="30" spans="1:4">
      <c r="A30" s="295"/>
      <c r="B30" s="296"/>
      <c r="C30" s="295"/>
      <c r="D30" s="295"/>
    </row>
    <row r="31" spans="1:4">
      <c r="A31" s="295"/>
      <c r="B31" s="295"/>
      <c r="C31" s="295"/>
      <c r="D31" s="295"/>
    </row>
    <row r="32" spans="1:4">
      <c r="A32" s="295"/>
      <c r="B32" s="295"/>
      <c r="C32" s="295"/>
      <c r="D32" s="295"/>
    </row>
    <row r="33" spans="1:4">
      <c r="A33" s="295"/>
      <c r="B33" s="295"/>
      <c r="C33" s="295"/>
      <c r="D33" s="295"/>
    </row>
  </sheetData>
  <sheetProtection password="FD2D" sheet="1" objects="1"/>
  <mergeCells count="5">
    <mergeCell ref="B1:D1"/>
    <mergeCell ref="F7:G15"/>
    <mergeCell ref="B4:B5"/>
    <mergeCell ref="C4:C5"/>
    <mergeCell ref="D4:D5"/>
  </mergeCells>
  <phoneticPr fontId="10" type="noConversion"/>
  <pageMargins left="0.75" right="0.75" top="1" bottom="1" header="0.5" footer="0.5"/>
  <pageSetup paperSize="9" orientation="portrait" r:id="rId1"/>
  <headerFooter alignWithMargins="0"/>
  <drawing r:id="rId2"/>
  <legacyDrawing r:id="rId3"/>
  <picture r:id="rId4"/>
  <mc:AlternateContent xmlns:mc="http://schemas.openxmlformats.org/markup-compatibility/2006">
    <mc:Choice Requires="x14">
      <controls>
        <mc:AlternateContent xmlns:mc="http://schemas.openxmlformats.org/markup-compatibility/2006">
          <mc:Choice Requires="x14">
            <control shapeId="8193" r:id="rId5" name="Button 1">
              <controlPr defaultSize="0" print="0" autoFill="0" autoPict="0" macro="[0]!copydatabase">
                <anchor moveWithCells="1">
                  <from>
                    <xdr:col>5</xdr:col>
                    <xdr:colOff>0</xdr:colOff>
                    <xdr:row>20</xdr:row>
                    <xdr:rowOff>142875</xdr:rowOff>
                  </from>
                  <to>
                    <xdr:col>7</xdr:col>
                    <xdr:colOff>47625</xdr:colOff>
                    <xdr:row>22</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1:J209"/>
  <sheetViews>
    <sheetView showGridLines="0" showRowColHeaders="0" zoomScale="85" workbookViewId="0"/>
  </sheetViews>
  <sheetFormatPr defaultColWidth="8.85546875" defaultRowHeight="12.75"/>
  <cols>
    <col min="1" max="1" width="6.7109375" style="86" customWidth="1"/>
    <col min="2" max="10" width="12.5703125" style="86" customWidth="1"/>
    <col min="11" max="16384" width="8.85546875" style="86"/>
  </cols>
  <sheetData>
    <row r="1" spans="2:10" ht="27">
      <c r="B1" s="445" t="s">
        <v>248</v>
      </c>
      <c r="C1" s="445"/>
      <c r="D1" s="445"/>
      <c r="E1" s="445"/>
      <c r="F1" s="445"/>
      <c r="G1" s="445"/>
      <c r="H1" s="445"/>
      <c r="I1" s="445"/>
      <c r="J1" s="445"/>
    </row>
    <row r="2" spans="2:10" ht="13.15" customHeight="1">
      <c r="B2" s="140"/>
      <c r="C2" s="140"/>
      <c r="D2" s="140"/>
      <c r="E2" s="140"/>
      <c r="F2" s="140"/>
      <c r="G2" s="140"/>
      <c r="H2" s="140"/>
      <c r="I2" s="140"/>
      <c r="J2" s="140"/>
    </row>
    <row r="3" spans="2:10" ht="13.15" customHeight="1">
      <c r="B3" s="119" t="s">
        <v>238</v>
      </c>
      <c r="C3" s="153"/>
      <c r="D3" s="153"/>
      <c r="E3" s="153"/>
      <c r="F3" s="153"/>
      <c r="G3" s="153"/>
      <c r="H3" s="153"/>
      <c r="I3" s="153"/>
      <c r="J3" s="154"/>
    </row>
    <row r="4" spans="2:10">
      <c r="B4" s="453" t="s">
        <v>6</v>
      </c>
      <c r="C4" s="454"/>
      <c r="D4" s="454"/>
      <c r="E4" s="454"/>
      <c r="F4" s="454"/>
      <c r="G4" s="454"/>
      <c r="H4" s="454"/>
      <c r="I4" s="454"/>
      <c r="J4" s="455"/>
    </row>
    <row r="5" spans="2:10">
      <c r="B5" s="456"/>
      <c r="C5" s="454"/>
      <c r="D5" s="454"/>
      <c r="E5" s="454"/>
      <c r="F5" s="454"/>
      <c r="G5" s="454"/>
      <c r="H5" s="454"/>
      <c r="I5" s="454"/>
      <c r="J5" s="455"/>
    </row>
    <row r="6" spans="2:10">
      <c r="B6" s="456"/>
      <c r="C6" s="454"/>
      <c r="D6" s="454"/>
      <c r="E6" s="454"/>
      <c r="F6" s="454"/>
      <c r="G6" s="454"/>
      <c r="H6" s="454"/>
      <c r="I6" s="454"/>
      <c r="J6" s="455"/>
    </row>
    <row r="7" spans="2:10" ht="13.15" customHeight="1">
      <c r="B7" s="456"/>
      <c r="C7" s="454"/>
      <c r="D7" s="454"/>
      <c r="E7" s="454"/>
      <c r="F7" s="454"/>
      <c r="G7" s="454"/>
      <c r="H7" s="454"/>
      <c r="I7" s="454"/>
      <c r="J7" s="455"/>
    </row>
    <row r="8" spans="2:10" ht="13.15" customHeight="1">
      <c r="B8" s="223" t="s">
        <v>370</v>
      </c>
      <c r="C8" s="191"/>
      <c r="D8" s="191"/>
      <c r="E8" s="191"/>
      <c r="F8" s="191"/>
      <c r="G8" s="191"/>
      <c r="H8" s="191"/>
      <c r="I8" s="191"/>
      <c r="J8" s="192"/>
    </row>
    <row r="9" spans="2:10" ht="13.15" customHeight="1">
      <c r="B9" s="434" t="s">
        <v>5</v>
      </c>
      <c r="C9" s="444"/>
      <c r="D9" s="444"/>
      <c r="E9" s="444"/>
      <c r="F9" s="444"/>
      <c r="G9" s="444"/>
      <c r="H9" s="444"/>
      <c r="I9" s="444"/>
      <c r="J9" s="436"/>
    </row>
    <row r="10" spans="2:10" ht="13.15" customHeight="1">
      <c r="B10" s="437"/>
      <c r="C10" s="444"/>
      <c r="D10" s="444"/>
      <c r="E10" s="444"/>
      <c r="F10" s="444"/>
      <c r="G10" s="444"/>
      <c r="H10" s="444"/>
      <c r="I10" s="444"/>
      <c r="J10" s="436"/>
    </row>
    <row r="11" spans="2:10" ht="13.15" customHeight="1">
      <c r="B11" s="438"/>
      <c r="C11" s="439"/>
      <c r="D11" s="439"/>
      <c r="E11" s="439"/>
      <c r="F11" s="439"/>
      <c r="G11" s="439"/>
      <c r="H11" s="439"/>
      <c r="I11" s="439"/>
      <c r="J11" s="440"/>
    </row>
    <row r="12" spans="2:10">
      <c r="B12" s="147"/>
      <c r="C12" s="147"/>
      <c r="D12" s="147"/>
      <c r="E12" s="147"/>
      <c r="F12" s="147"/>
      <c r="G12" s="147"/>
      <c r="H12" s="147"/>
      <c r="I12" s="147"/>
      <c r="J12" s="147"/>
    </row>
    <row r="13" spans="2:10">
      <c r="B13" s="119" t="s">
        <v>276</v>
      </c>
      <c r="C13" s="105"/>
      <c r="D13" s="105"/>
      <c r="E13" s="105"/>
      <c r="F13" s="105"/>
      <c r="G13" s="105"/>
      <c r="H13" s="105"/>
      <c r="I13" s="105"/>
      <c r="J13" s="106"/>
    </row>
    <row r="14" spans="2:10">
      <c r="B14" s="159" t="s">
        <v>155</v>
      </c>
      <c r="C14" s="109"/>
      <c r="D14" s="109"/>
      <c r="E14" s="109"/>
      <c r="F14" s="109"/>
      <c r="G14" s="109"/>
      <c r="H14" s="109"/>
      <c r="I14" s="109"/>
      <c r="J14" s="110"/>
    </row>
    <row r="15" spans="2:10">
      <c r="B15" s="428" t="s">
        <v>357</v>
      </c>
      <c r="C15" s="452"/>
      <c r="D15" s="452"/>
      <c r="E15" s="452"/>
      <c r="F15" s="452"/>
      <c r="G15" s="452"/>
      <c r="H15" s="452"/>
      <c r="I15" s="452"/>
      <c r="J15" s="442"/>
    </row>
    <row r="16" spans="2:10">
      <c r="B16" s="159" t="s">
        <v>161</v>
      </c>
      <c r="C16" s="109"/>
      <c r="D16" s="109"/>
      <c r="E16" s="109"/>
      <c r="F16" s="109"/>
      <c r="G16" s="109"/>
      <c r="H16" s="109"/>
      <c r="I16" s="109"/>
      <c r="J16" s="110"/>
    </row>
    <row r="17" spans="2:10">
      <c r="B17" s="107" t="s">
        <v>156</v>
      </c>
      <c r="C17" s="109"/>
      <c r="D17" s="109"/>
      <c r="E17" s="109"/>
      <c r="F17" s="109"/>
      <c r="G17" s="109"/>
      <c r="H17" s="109"/>
      <c r="I17" s="109"/>
      <c r="J17" s="110"/>
    </row>
    <row r="18" spans="2:10">
      <c r="B18" s="159" t="s">
        <v>157</v>
      </c>
      <c r="C18" s="109"/>
      <c r="D18" s="109"/>
      <c r="E18" s="109"/>
      <c r="F18" s="109"/>
      <c r="G18" s="109"/>
      <c r="H18" s="109"/>
      <c r="I18" s="109"/>
      <c r="J18" s="110"/>
    </row>
    <row r="19" spans="2:10">
      <c r="B19" s="107" t="s">
        <v>331</v>
      </c>
      <c r="C19" s="109"/>
      <c r="D19" s="109"/>
      <c r="E19" s="109"/>
      <c r="F19" s="109"/>
      <c r="G19" s="109"/>
      <c r="H19" s="109"/>
      <c r="I19" s="109"/>
      <c r="J19" s="110"/>
    </row>
    <row r="20" spans="2:10">
      <c r="B20" s="159" t="s">
        <v>225</v>
      </c>
      <c r="C20" s="109"/>
      <c r="D20" s="109"/>
      <c r="E20" s="109"/>
      <c r="F20" s="109"/>
      <c r="G20" s="109"/>
      <c r="H20" s="109"/>
      <c r="I20" s="109"/>
      <c r="J20" s="110"/>
    </row>
    <row r="21" spans="2:10">
      <c r="B21" s="157" t="s">
        <v>226</v>
      </c>
      <c r="C21" s="116"/>
      <c r="D21" s="116"/>
      <c r="E21" s="116"/>
      <c r="F21" s="116"/>
      <c r="G21" s="116"/>
      <c r="H21" s="116"/>
      <c r="I21" s="116"/>
      <c r="J21" s="118"/>
    </row>
    <row r="23" spans="2:10">
      <c r="B23" s="119" t="s">
        <v>235</v>
      </c>
      <c r="C23" s="105"/>
      <c r="D23" s="105"/>
      <c r="E23" s="105"/>
      <c r="F23" s="105"/>
      <c r="G23" s="105"/>
      <c r="H23" s="105"/>
      <c r="I23" s="105"/>
      <c r="J23" s="106"/>
    </row>
    <row r="24" spans="2:10">
      <c r="B24" s="159" t="s">
        <v>280</v>
      </c>
      <c r="C24" s="109"/>
      <c r="D24" s="109"/>
      <c r="E24" s="109"/>
      <c r="F24" s="109"/>
      <c r="G24" s="109"/>
      <c r="H24" s="109"/>
      <c r="I24" s="109"/>
      <c r="J24" s="110"/>
    </row>
    <row r="25" spans="2:10">
      <c r="B25" s="428" t="s">
        <v>281</v>
      </c>
      <c r="C25" s="449"/>
      <c r="D25" s="449"/>
      <c r="E25" s="449"/>
      <c r="F25" s="449"/>
      <c r="G25" s="449"/>
      <c r="H25" s="449"/>
      <c r="I25" s="449"/>
      <c r="J25" s="450"/>
    </row>
    <row r="26" spans="2:10">
      <c r="B26" s="451"/>
      <c r="C26" s="449"/>
      <c r="D26" s="449"/>
      <c r="E26" s="449"/>
      <c r="F26" s="449"/>
      <c r="G26" s="449"/>
      <c r="H26" s="449"/>
      <c r="I26" s="449"/>
      <c r="J26" s="450"/>
    </row>
    <row r="27" spans="2:10">
      <c r="B27" s="159" t="s">
        <v>213</v>
      </c>
      <c r="C27" s="109"/>
      <c r="D27" s="109"/>
      <c r="E27" s="109"/>
      <c r="F27" s="109"/>
      <c r="G27" s="109"/>
      <c r="H27" s="109"/>
      <c r="I27" s="109"/>
      <c r="J27" s="110"/>
    </row>
    <row r="28" spans="2:10">
      <c r="B28" s="107" t="s">
        <v>223</v>
      </c>
      <c r="C28" s="109"/>
      <c r="D28" s="109"/>
      <c r="E28" s="109"/>
      <c r="F28" s="109"/>
      <c r="G28" s="109"/>
      <c r="H28" s="109"/>
      <c r="I28" s="109"/>
      <c r="J28" s="110"/>
    </row>
    <row r="29" spans="2:10">
      <c r="B29" s="107"/>
      <c r="C29" s="109"/>
      <c r="D29" s="109"/>
      <c r="E29" s="109"/>
      <c r="F29" s="109"/>
      <c r="G29" s="109"/>
      <c r="H29" s="109"/>
      <c r="I29" s="109"/>
      <c r="J29" s="110"/>
    </row>
    <row r="30" spans="2:10">
      <c r="B30" s="159" t="s">
        <v>240</v>
      </c>
      <c r="C30" s="109"/>
      <c r="D30" s="109"/>
      <c r="E30" s="109"/>
      <c r="F30" s="109"/>
      <c r="G30" s="109"/>
      <c r="H30" s="109"/>
      <c r="I30" s="109"/>
      <c r="J30" s="110"/>
    </row>
    <row r="31" spans="2:10">
      <c r="B31" s="107" t="s">
        <v>244</v>
      </c>
      <c r="C31" s="109"/>
      <c r="D31" s="109"/>
      <c r="E31" s="109"/>
      <c r="F31" s="109"/>
      <c r="G31" s="109"/>
      <c r="H31" s="109"/>
      <c r="I31" s="109"/>
      <c r="J31" s="110"/>
    </row>
    <row r="32" spans="2:10">
      <c r="B32" s="428" t="s">
        <v>245</v>
      </c>
      <c r="C32" s="452"/>
      <c r="D32" s="452"/>
      <c r="E32" s="452"/>
      <c r="F32" s="452"/>
      <c r="G32" s="452"/>
      <c r="H32" s="452"/>
      <c r="I32" s="452"/>
      <c r="J32" s="442"/>
    </row>
    <row r="33" spans="2:10">
      <c r="B33" s="434"/>
      <c r="C33" s="452"/>
      <c r="D33" s="452"/>
      <c r="E33" s="452"/>
      <c r="F33" s="452"/>
      <c r="G33" s="452"/>
      <c r="H33" s="452"/>
      <c r="I33" s="452"/>
      <c r="J33" s="442"/>
    </row>
    <row r="34" spans="2:10">
      <c r="B34" s="159" t="s">
        <v>158</v>
      </c>
      <c r="C34" s="109"/>
      <c r="D34" s="109"/>
      <c r="E34" s="109"/>
      <c r="F34" s="109"/>
      <c r="G34" s="109"/>
      <c r="H34" s="109"/>
      <c r="I34" s="109"/>
      <c r="J34" s="110"/>
    </row>
    <row r="35" spans="2:10">
      <c r="B35" s="453" t="s">
        <v>286</v>
      </c>
      <c r="C35" s="457"/>
      <c r="D35" s="457"/>
      <c r="E35" s="457"/>
      <c r="F35" s="457"/>
      <c r="G35" s="457"/>
      <c r="H35" s="457"/>
      <c r="I35" s="457"/>
      <c r="J35" s="458"/>
    </row>
    <row r="36" spans="2:10">
      <c r="B36" s="459"/>
      <c r="C36" s="457"/>
      <c r="D36" s="457"/>
      <c r="E36" s="457"/>
      <c r="F36" s="457"/>
      <c r="G36" s="457"/>
      <c r="H36" s="457"/>
      <c r="I36" s="457"/>
      <c r="J36" s="458"/>
    </row>
    <row r="37" spans="2:10">
      <c r="B37" s="459"/>
      <c r="C37" s="457"/>
      <c r="D37" s="457"/>
      <c r="E37" s="457"/>
      <c r="F37" s="457"/>
      <c r="G37" s="457"/>
      <c r="H37" s="457"/>
      <c r="I37" s="457"/>
      <c r="J37" s="458"/>
    </row>
    <row r="38" spans="2:10">
      <c r="B38" s="107" t="s">
        <v>206</v>
      </c>
      <c r="C38" s="109"/>
      <c r="D38" s="109"/>
      <c r="E38" s="109"/>
      <c r="F38" s="109"/>
      <c r="G38" s="109"/>
      <c r="H38" s="109"/>
      <c r="I38" s="109"/>
      <c r="J38" s="110"/>
    </row>
    <row r="39" spans="2:10">
      <c r="B39" s="107" t="s">
        <v>233</v>
      </c>
      <c r="C39" s="109"/>
      <c r="D39" s="109"/>
      <c r="E39" s="109"/>
      <c r="F39" s="109"/>
      <c r="G39" s="109"/>
      <c r="H39" s="109"/>
      <c r="I39" s="109"/>
      <c r="J39" s="110"/>
    </row>
    <row r="40" spans="2:10">
      <c r="B40" s="428" t="s">
        <v>216</v>
      </c>
      <c r="C40" s="452"/>
      <c r="D40" s="452"/>
      <c r="E40" s="452"/>
      <c r="F40" s="452"/>
      <c r="G40" s="452"/>
      <c r="H40" s="452"/>
      <c r="I40" s="452"/>
      <c r="J40" s="442"/>
    </row>
    <row r="41" spans="2:10">
      <c r="B41" s="434"/>
      <c r="C41" s="452"/>
      <c r="D41" s="452"/>
      <c r="E41" s="452"/>
      <c r="F41" s="452"/>
      <c r="G41" s="452"/>
      <c r="H41" s="452"/>
      <c r="I41" s="452"/>
      <c r="J41" s="442"/>
    </row>
    <row r="42" spans="2:10">
      <c r="B42" s="159" t="s">
        <v>282</v>
      </c>
      <c r="C42" s="109"/>
      <c r="D42" s="109"/>
      <c r="E42" s="109"/>
      <c r="F42" s="109"/>
      <c r="G42" s="109"/>
      <c r="H42" s="109"/>
      <c r="I42" s="109"/>
      <c r="J42" s="110"/>
    </row>
    <row r="43" spans="2:10">
      <c r="B43" s="107"/>
      <c r="C43" s="109"/>
      <c r="D43" s="109"/>
      <c r="E43" s="109"/>
      <c r="F43" s="109"/>
      <c r="G43" s="109"/>
      <c r="H43" s="109"/>
      <c r="I43" s="109"/>
      <c r="J43" s="110"/>
    </row>
    <row r="44" spans="2:10">
      <c r="B44" s="107"/>
      <c r="C44" s="109"/>
      <c r="D44" s="109"/>
      <c r="E44" s="109"/>
      <c r="F44" s="109"/>
      <c r="G44" s="109"/>
      <c r="H44" s="109"/>
      <c r="I44" s="109"/>
      <c r="J44" s="110"/>
    </row>
    <row r="45" spans="2:10">
      <c r="B45" s="107"/>
      <c r="C45" s="109"/>
      <c r="D45" s="109"/>
      <c r="E45" s="109"/>
      <c r="F45" s="109"/>
      <c r="G45" s="109"/>
      <c r="H45" s="109"/>
      <c r="I45" s="109"/>
      <c r="J45" s="110"/>
    </row>
    <row r="46" spans="2:10">
      <c r="B46" s="107"/>
      <c r="C46" s="109"/>
      <c r="D46" s="109"/>
      <c r="E46" s="109"/>
      <c r="F46" s="109"/>
      <c r="G46" s="109"/>
      <c r="H46" s="109"/>
      <c r="I46" s="109"/>
      <c r="J46" s="110"/>
    </row>
    <row r="47" spans="2:10">
      <c r="B47" s="107"/>
      <c r="C47" s="109"/>
      <c r="D47" s="109"/>
      <c r="E47" s="109"/>
      <c r="F47" s="109"/>
      <c r="G47" s="109"/>
      <c r="H47" s="109"/>
      <c r="I47" s="109"/>
      <c r="J47" s="110"/>
    </row>
    <row r="48" spans="2:10">
      <c r="B48" s="107"/>
      <c r="C48" s="109"/>
      <c r="D48" s="109"/>
      <c r="E48" s="109"/>
      <c r="F48" s="109"/>
      <c r="G48" s="109"/>
      <c r="H48" s="109"/>
      <c r="I48" s="109"/>
      <c r="J48" s="110"/>
    </row>
    <row r="49" spans="2:10">
      <c r="B49" s="107"/>
      <c r="C49" s="109"/>
      <c r="D49" s="109"/>
      <c r="E49" s="109"/>
      <c r="F49" s="109"/>
      <c r="G49" s="109"/>
      <c r="H49" s="109"/>
      <c r="I49" s="109"/>
      <c r="J49" s="110"/>
    </row>
    <row r="50" spans="2:10">
      <c r="B50" s="107"/>
      <c r="C50" s="109"/>
      <c r="D50" s="109"/>
      <c r="E50" s="109"/>
      <c r="F50" s="109"/>
      <c r="G50" s="109"/>
      <c r="H50" s="109"/>
      <c r="I50" s="109"/>
      <c r="J50" s="110"/>
    </row>
    <row r="51" spans="2:10">
      <c r="B51" s="107"/>
      <c r="C51" s="109"/>
      <c r="D51" s="109"/>
      <c r="E51" s="109"/>
      <c r="F51" s="109"/>
      <c r="G51" s="109"/>
      <c r="H51" s="109"/>
      <c r="I51" s="109"/>
      <c r="J51" s="110"/>
    </row>
    <row r="52" spans="2:10">
      <c r="B52" s="107"/>
      <c r="C52" s="109"/>
      <c r="D52" s="109"/>
      <c r="E52" s="109"/>
      <c r="F52" s="109"/>
      <c r="G52" s="109"/>
      <c r="H52" s="109"/>
      <c r="I52" s="109"/>
      <c r="J52" s="110"/>
    </row>
    <row r="53" spans="2:10">
      <c r="B53" s="107"/>
      <c r="C53" s="109"/>
      <c r="D53" s="109"/>
      <c r="E53" s="109"/>
      <c r="F53" s="109"/>
      <c r="G53" s="109"/>
      <c r="H53" s="109"/>
      <c r="I53" s="109"/>
      <c r="J53" s="110"/>
    </row>
    <row r="54" spans="2:10">
      <c r="B54" s="107"/>
      <c r="C54" s="109"/>
      <c r="D54" s="109"/>
      <c r="E54" s="109"/>
      <c r="F54" s="109"/>
      <c r="G54" s="109"/>
      <c r="H54" s="109"/>
      <c r="I54" s="109"/>
      <c r="J54" s="110"/>
    </row>
    <row r="55" spans="2:10">
      <c r="B55" s="107"/>
      <c r="C55" s="109"/>
      <c r="D55" s="109"/>
      <c r="E55" s="109"/>
      <c r="F55" s="109"/>
      <c r="G55" s="109"/>
      <c r="H55" s="109"/>
      <c r="I55" s="109"/>
      <c r="J55" s="110"/>
    </row>
    <row r="56" spans="2:10">
      <c r="B56" s="159" t="s">
        <v>285</v>
      </c>
      <c r="C56" s="109"/>
      <c r="D56" s="109"/>
      <c r="E56" s="109"/>
      <c r="F56" s="109"/>
      <c r="G56" s="109"/>
      <c r="H56" s="109"/>
      <c r="I56" s="109"/>
      <c r="J56" s="110"/>
    </row>
    <row r="57" spans="2:10">
      <c r="B57" s="470" t="s">
        <v>252</v>
      </c>
      <c r="C57" s="471"/>
      <c r="D57" s="446" t="s">
        <v>264</v>
      </c>
      <c r="E57" s="447"/>
      <c r="F57" s="447"/>
      <c r="G57" s="447"/>
      <c r="H57" s="447"/>
      <c r="I57" s="448"/>
      <c r="J57" s="463"/>
    </row>
    <row r="58" spans="2:10">
      <c r="B58" s="472"/>
      <c r="C58" s="473"/>
      <c r="D58" s="446"/>
      <c r="E58" s="447"/>
      <c r="F58" s="447"/>
      <c r="G58" s="447"/>
      <c r="H58" s="447"/>
      <c r="I58" s="448"/>
      <c r="J58" s="464"/>
    </row>
    <row r="59" spans="2:10">
      <c r="B59" s="323" t="s">
        <v>253</v>
      </c>
      <c r="C59" s="324"/>
      <c r="D59" s="323" t="s">
        <v>266</v>
      </c>
      <c r="E59" s="325"/>
      <c r="F59" s="325"/>
      <c r="G59" s="325"/>
      <c r="H59" s="325"/>
      <c r="I59" s="324"/>
      <c r="J59" s="326" t="s">
        <v>88</v>
      </c>
    </row>
    <row r="60" spans="2:10">
      <c r="B60" s="323" t="s">
        <v>250</v>
      </c>
      <c r="C60" s="324"/>
      <c r="D60" s="323" t="s">
        <v>260</v>
      </c>
      <c r="E60" s="325"/>
      <c r="F60" s="325"/>
      <c r="G60" s="325"/>
      <c r="H60" s="325"/>
      <c r="I60" s="324"/>
      <c r="J60" s="326" t="s">
        <v>94</v>
      </c>
    </row>
    <row r="61" spans="2:10">
      <c r="B61" s="323" t="s">
        <v>251</v>
      </c>
      <c r="C61" s="324"/>
      <c r="D61" s="323" t="s">
        <v>259</v>
      </c>
      <c r="E61" s="325"/>
      <c r="F61" s="325"/>
      <c r="G61" s="325"/>
      <c r="H61" s="325"/>
      <c r="I61" s="324"/>
      <c r="J61" s="326" t="s">
        <v>94</v>
      </c>
    </row>
    <row r="62" spans="2:10">
      <c r="B62" s="323" t="s">
        <v>254</v>
      </c>
      <c r="C62" s="324"/>
      <c r="D62" s="323" t="s">
        <v>262</v>
      </c>
      <c r="E62" s="325"/>
      <c r="F62" s="325"/>
      <c r="G62" s="325"/>
      <c r="H62" s="325"/>
      <c r="I62" s="324"/>
      <c r="J62" s="326" t="s">
        <v>267</v>
      </c>
    </row>
    <row r="63" spans="2:10">
      <c r="B63" s="323" t="s">
        <v>299</v>
      </c>
      <c r="C63" s="324"/>
      <c r="D63" s="323" t="s">
        <v>273</v>
      </c>
      <c r="E63" s="325"/>
      <c r="F63" s="325"/>
      <c r="G63" s="325"/>
      <c r="H63" s="325"/>
      <c r="I63" s="324"/>
      <c r="J63" s="326" t="s">
        <v>268</v>
      </c>
    </row>
    <row r="64" spans="2:10">
      <c r="B64" s="323" t="s">
        <v>255</v>
      </c>
      <c r="C64" s="324"/>
      <c r="D64" s="323" t="s">
        <v>261</v>
      </c>
      <c r="E64" s="325"/>
      <c r="F64" s="325"/>
      <c r="G64" s="325"/>
      <c r="H64" s="325"/>
      <c r="I64" s="324"/>
      <c r="J64" s="326" t="s">
        <v>95</v>
      </c>
    </row>
    <row r="65" spans="2:10">
      <c r="B65" s="470" t="s">
        <v>256</v>
      </c>
      <c r="C65" s="471"/>
      <c r="D65" s="446" t="s">
        <v>265</v>
      </c>
      <c r="E65" s="447"/>
      <c r="F65" s="447"/>
      <c r="G65" s="447"/>
      <c r="H65" s="447"/>
      <c r="I65" s="448"/>
      <c r="J65" s="463" t="s">
        <v>268</v>
      </c>
    </row>
    <row r="66" spans="2:10">
      <c r="B66" s="472"/>
      <c r="C66" s="473"/>
      <c r="D66" s="446"/>
      <c r="E66" s="447"/>
      <c r="F66" s="447"/>
      <c r="G66" s="447"/>
      <c r="H66" s="447"/>
      <c r="I66" s="448"/>
      <c r="J66" s="464"/>
    </row>
    <row r="67" spans="2:10">
      <c r="B67" s="323" t="s">
        <v>257</v>
      </c>
      <c r="C67" s="324"/>
      <c r="D67" s="323" t="s">
        <v>274</v>
      </c>
      <c r="E67" s="325"/>
      <c r="F67" s="325"/>
      <c r="G67" s="325"/>
      <c r="H67" s="325"/>
      <c r="I67" s="324"/>
      <c r="J67" s="326" t="s">
        <v>93</v>
      </c>
    </row>
    <row r="68" spans="2:10">
      <c r="B68" s="470" t="s">
        <v>258</v>
      </c>
      <c r="C68" s="471"/>
      <c r="D68" s="446" t="s">
        <v>263</v>
      </c>
      <c r="E68" s="447"/>
      <c r="F68" s="447"/>
      <c r="G68" s="447"/>
      <c r="H68" s="447"/>
      <c r="I68" s="448"/>
      <c r="J68" s="460" t="s">
        <v>92</v>
      </c>
    </row>
    <row r="69" spans="2:10">
      <c r="B69" s="477"/>
      <c r="C69" s="478"/>
      <c r="D69" s="446"/>
      <c r="E69" s="447"/>
      <c r="F69" s="447"/>
      <c r="G69" s="447"/>
      <c r="H69" s="447"/>
      <c r="I69" s="448"/>
      <c r="J69" s="461"/>
    </row>
    <row r="70" spans="2:10">
      <c r="B70" s="472"/>
      <c r="C70" s="473"/>
      <c r="D70" s="446"/>
      <c r="E70" s="447"/>
      <c r="F70" s="447"/>
      <c r="G70" s="447"/>
      <c r="H70" s="447"/>
      <c r="I70" s="448"/>
      <c r="J70" s="462"/>
    </row>
    <row r="71" spans="2:10">
      <c r="B71" s="470" t="s">
        <v>284</v>
      </c>
      <c r="C71" s="471"/>
      <c r="D71" s="479" t="s">
        <v>90</v>
      </c>
      <c r="E71" s="480"/>
      <c r="F71" s="480"/>
      <c r="G71" s="480"/>
      <c r="H71" s="480"/>
      <c r="I71" s="481"/>
      <c r="J71" s="482" t="s">
        <v>91</v>
      </c>
    </row>
    <row r="72" spans="2:10">
      <c r="B72" s="472"/>
      <c r="C72" s="473"/>
      <c r="D72" s="438"/>
      <c r="E72" s="439"/>
      <c r="F72" s="439"/>
      <c r="G72" s="439"/>
      <c r="H72" s="439"/>
      <c r="I72" s="440"/>
      <c r="J72" s="483"/>
    </row>
    <row r="73" spans="2:10" ht="13.15" customHeight="1">
      <c r="B73" s="107"/>
      <c r="C73" s="109"/>
      <c r="D73" s="141"/>
      <c r="E73" s="141"/>
      <c r="F73" s="141"/>
      <c r="G73" s="141"/>
      <c r="H73" s="141"/>
      <c r="I73" s="141"/>
      <c r="J73" s="160"/>
    </row>
    <row r="74" spans="2:10">
      <c r="B74" s="159" t="s">
        <v>97</v>
      </c>
      <c r="C74" s="109"/>
      <c r="D74" s="162"/>
      <c r="E74" s="161"/>
      <c r="F74" s="161"/>
      <c r="G74" s="161"/>
      <c r="H74" s="161"/>
      <c r="I74" s="161"/>
      <c r="J74" s="110"/>
    </row>
    <row r="75" spans="2:10">
      <c r="B75" s="453" t="s">
        <v>96</v>
      </c>
      <c r="C75" s="474"/>
      <c r="D75" s="474"/>
      <c r="E75" s="474"/>
      <c r="F75" s="474"/>
      <c r="G75" s="474"/>
      <c r="H75" s="474"/>
      <c r="I75" s="474"/>
      <c r="J75" s="475"/>
    </row>
    <row r="76" spans="2:10">
      <c r="B76" s="476"/>
      <c r="C76" s="474"/>
      <c r="D76" s="474"/>
      <c r="E76" s="474"/>
      <c r="F76" s="474"/>
      <c r="G76" s="474"/>
      <c r="H76" s="474"/>
      <c r="I76" s="474"/>
      <c r="J76" s="475"/>
    </row>
    <row r="77" spans="2:10">
      <c r="B77" s="476"/>
      <c r="C77" s="474"/>
      <c r="D77" s="474"/>
      <c r="E77" s="474"/>
      <c r="F77" s="474"/>
      <c r="G77" s="474"/>
      <c r="H77" s="474"/>
      <c r="I77" s="474"/>
      <c r="J77" s="475"/>
    </row>
    <row r="78" spans="2:10">
      <c r="B78" s="476"/>
      <c r="C78" s="474"/>
      <c r="D78" s="474"/>
      <c r="E78" s="474"/>
      <c r="F78" s="474"/>
      <c r="G78" s="474"/>
      <c r="H78" s="474"/>
      <c r="I78" s="474"/>
      <c r="J78" s="475"/>
    </row>
    <row r="79" spans="2:10">
      <c r="B79" s="476"/>
      <c r="C79" s="474"/>
      <c r="D79" s="474"/>
      <c r="E79" s="474"/>
      <c r="F79" s="474"/>
      <c r="G79" s="474"/>
      <c r="H79" s="474"/>
      <c r="I79" s="474"/>
      <c r="J79" s="475"/>
    </row>
    <row r="80" spans="2:10">
      <c r="B80" s="476"/>
      <c r="C80" s="474"/>
      <c r="D80" s="474"/>
      <c r="E80" s="474"/>
      <c r="F80" s="474"/>
      <c r="G80" s="474"/>
      <c r="H80" s="474"/>
      <c r="I80" s="474"/>
      <c r="J80" s="475"/>
    </row>
    <row r="81" spans="2:10">
      <c r="B81" s="476"/>
      <c r="C81" s="474"/>
      <c r="D81" s="474"/>
      <c r="E81" s="474"/>
      <c r="F81" s="474"/>
      <c r="G81" s="474"/>
      <c r="H81" s="474"/>
      <c r="I81" s="474"/>
      <c r="J81" s="475"/>
    </row>
    <row r="82" spans="2:10">
      <c r="B82" s="476"/>
      <c r="C82" s="474"/>
      <c r="D82" s="474"/>
      <c r="E82" s="474"/>
      <c r="F82" s="474"/>
      <c r="G82" s="474"/>
      <c r="H82" s="474"/>
      <c r="I82" s="474"/>
      <c r="J82" s="475"/>
    </row>
    <row r="83" spans="2:10">
      <c r="B83" s="476"/>
      <c r="C83" s="474"/>
      <c r="D83" s="474"/>
      <c r="E83" s="474"/>
      <c r="F83" s="474"/>
      <c r="G83" s="474"/>
      <c r="H83" s="474"/>
      <c r="I83" s="474"/>
      <c r="J83" s="475"/>
    </row>
    <row r="84" spans="2:10">
      <c r="B84" s="476"/>
      <c r="C84" s="474"/>
      <c r="D84" s="474"/>
      <c r="E84" s="474"/>
      <c r="F84" s="474"/>
      <c r="G84" s="474"/>
      <c r="H84" s="474"/>
      <c r="I84" s="474"/>
      <c r="J84" s="475"/>
    </row>
    <row r="85" spans="2:10">
      <c r="B85" s="476"/>
      <c r="C85" s="474"/>
      <c r="D85" s="474"/>
      <c r="E85" s="474"/>
      <c r="F85" s="474"/>
      <c r="G85" s="474"/>
      <c r="H85" s="474"/>
      <c r="I85" s="474"/>
      <c r="J85" s="475"/>
    </row>
    <row r="86" spans="2:10">
      <c r="B86" s="476"/>
      <c r="C86" s="474"/>
      <c r="D86" s="474"/>
      <c r="E86" s="474"/>
      <c r="F86" s="474"/>
      <c r="G86" s="474"/>
      <c r="H86" s="474"/>
      <c r="I86" s="474"/>
      <c r="J86" s="475"/>
    </row>
    <row r="87" spans="2:10">
      <c r="B87" s="476"/>
      <c r="C87" s="474"/>
      <c r="D87" s="474"/>
      <c r="E87" s="474"/>
      <c r="F87" s="474"/>
      <c r="G87" s="474"/>
      <c r="H87" s="474"/>
      <c r="I87" s="474"/>
      <c r="J87" s="475"/>
    </row>
    <row r="88" spans="2:10" ht="13.15" customHeight="1">
      <c r="B88" s="288" t="s">
        <v>98</v>
      </c>
      <c r="C88" s="163"/>
      <c r="D88" s="163"/>
      <c r="E88" s="163"/>
      <c r="F88" s="163"/>
      <c r="G88" s="163"/>
      <c r="H88" s="163"/>
      <c r="I88" s="163"/>
      <c r="J88" s="164"/>
    </row>
    <row r="89" spans="2:10" ht="13.15" customHeight="1">
      <c r="B89" s="443" t="s">
        <v>99</v>
      </c>
      <c r="C89" s="465"/>
      <c r="D89" s="465"/>
      <c r="E89" s="465"/>
      <c r="F89" s="465"/>
      <c r="G89" s="465"/>
      <c r="H89" s="465"/>
      <c r="I89" s="465"/>
      <c r="J89" s="466"/>
    </row>
    <row r="90" spans="2:10">
      <c r="B90" s="443"/>
      <c r="C90" s="465"/>
      <c r="D90" s="465"/>
      <c r="E90" s="465"/>
      <c r="F90" s="465"/>
      <c r="G90" s="465"/>
      <c r="H90" s="465"/>
      <c r="I90" s="465"/>
      <c r="J90" s="466"/>
    </row>
    <row r="91" spans="2:10">
      <c r="B91" s="443"/>
      <c r="C91" s="465"/>
      <c r="D91" s="465"/>
      <c r="E91" s="465"/>
      <c r="F91" s="465"/>
      <c r="G91" s="465"/>
      <c r="H91" s="465"/>
      <c r="I91" s="465"/>
      <c r="J91" s="466"/>
    </row>
    <row r="92" spans="2:10">
      <c r="B92" s="443"/>
      <c r="C92" s="465"/>
      <c r="D92" s="465"/>
      <c r="E92" s="465"/>
      <c r="F92" s="465"/>
      <c r="G92" s="465"/>
      <c r="H92" s="465"/>
      <c r="I92" s="465"/>
      <c r="J92" s="466"/>
    </row>
    <row r="93" spans="2:10">
      <c r="B93" s="443"/>
      <c r="C93" s="465"/>
      <c r="D93" s="465"/>
      <c r="E93" s="465"/>
      <c r="F93" s="465"/>
      <c r="G93" s="465"/>
      <c r="H93" s="465"/>
      <c r="I93" s="465"/>
      <c r="J93" s="466"/>
    </row>
    <row r="94" spans="2:10">
      <c r="B94" s="443"/>
      <c r="C94" s="465"/>
      <c r="D94" s="465"/>
      <c r="E94" s="465"/>
      <c r="F94" s="465"/>
      <c r="G94" s="465"/>
      <c r="H94" s="465"/>
      <c r="I94" s="465"/>
      <c r="J94" s="466"/>
    </row>
    <row r="95" spans="2:10">
      <c r="B95" s="443"/>
      <c r="C95" s="465"/>
      <c r="D95" s="465"/>
      <c r="E95" s="465"/>
      <c r="F95" s="465"/>
      <c r="G95" s="465"/>
      <c r="H95" s="465"/>
      <c r="I95" s="465"/>
      <c r="J95" s="466"/>
    </row>
    <row r="96" spans="2:10">
      <c r="B96" s="443"/>
      <c r="C96" s="465"/>
      <c r="D96" s="465"/>
      <c r="E96" s="465"/>
      <c r="F96" s="465"/>
      <c r="G96" s="465"/>
      <c r="H96" s="465"/>
      <c r="I96" s="465"/>
      <c r="J96" s="466"/>
    </row>
    <row r="97" spans="2:10">
      <c r="B97" s="443"/>
      <c r="C97" s="465"/>
      <c r="D97" s="465"/>
      <c r="E97" s="465"/>
      <c r="F97" s="465"/>
      <c r="G97" s="465"/>
      <c r="H97" s="465"/>
      <c r="I97" s="465"/>
      <c r="J97" s="466"/>
    </row>
    <row r="98" spans="2:10">
      <c r="B98" s="271" t="s">
        <v>104</v>
      </c>
      <c r="C98" s="281"/>
      <c r="D98" s="281"/>
      <c r="E98" s="281"/>
      <c r="F98" s="281"/>
      <c r="G98" s="281"/>
      <c r="H98" s="281"/>
      <c r="I98" s="281"/>
      <c r="J98" s="282"/>
    </row>
    <row r="99" spans="2:10">
      <c r="B99" s="443" t="s">
        <v>107</v>
      </c>
      <c r="C99" s="435"/>
      <c r="D99" s="435"/>
      <c r="E99" s="435"/>
      <c r="F99" s="435"/>
      <c r="G99" s="435"/>
      <c r="H99" s="435"/>
      <c r="I99" s="435"/>
      <c r="J99" s="436"/>
    </row>
    <row r="100" spans="2:10">
      <c r="B100" s="437"/>
      <c r="C100" s="435"/>
      <c r="D100" s="435"/>
      <c r="E100" s="435"/>
      <c r="F100" s="435"/>
      <c r="G100" s="435"/>
      <c r="H100" s="435"/>
      <c r="I100" s="435"/>
      <c r="J100" s="436"/>
    </row>
    <row r="101" spans="2:10">
      <c r="B101" s="291" t="s">
        <v>106</v>
      </c>
      <c r="C101" s="281"/>
      <c r="D101" s="281"/>
      <c r="E101" s="281"/>
      <c r="F101" s="281"/>
      <c r="G101" s="281"/>
      <c r="H101" s="281"/>
      <c r="I101" s="281"/>
      <c r="J101" s="282"/>
    </row>
    <row r="102" spans="2:10">
      <c r="B102" s="291" t="s">
        <v>108</v>
      </c>
      <c r="C102" s="281"/>
      <c r="D102" s="281"/>
      <c r="E102" s="281"/>
      <c r="F102" s="281"/>
      <c r="G102" s="281"/>
      <c r="H102" s="281"/>
      <c r="I102" s="281"/>
      <c r="J102" s="282"/>
    </row>
    <row r="103" spans="2:10" ht="13.15" customHeight="1">
      <c r="B103" s="285"/>
      <c r="C103" s="283"/>
      <c r="D103" s="283"/>
      <c r="E103" s="283"/>
      <c r="F103" s="283"/>
      <c r="G103" s="283"/>
      <c r="H103" s="283"/>
      <c r="I103" s="283"/>
      <c r="J103" s="284"/>
    </row>
    <row r="104" spans="2:10" ht="13.15" customHeight="1">
      <c r="B104" s="89"/>
      <c r="C104" s="89"/>
      <c r="D104" s="89"/>
      <c r="E104" s="89"/>
      <c r="F104" s="89"/>
      <c r="G104" s="89"/>
      <c r="H104" s="89"/>
      <c r="I104" s="89"/>
      <c r="J104" s="89"/>
    </row>
    <row r="105" spans="2:10" ht="13.15" customHeight="1">
      <c r="B105" s="119" t="s">
        <v>301</v>
      </c>
      <c r="C105" s="165"/>
      <c r="D105" s="165"/>
      <c r="E105" s="165"/>
      <c r="F105" s="165"/>
      <c r="G105" s="165"/>
      <c r="H105" s="165"/>
      <c r="I105" s="165"/>
      <c r="J105" s="166"/>
    </row>
    <row r="106" spans="2:10" ht="13.15" customHeight="1">
      <c r="B106" s="159" t="s">
        <v>302</v>
      </c>
      <c r="C106" s="163"/>
      <c r="D106" s="163"/>
      <c r="E106" s="163"/>
      <c r="F106" s="163"/>
      <c r="G106" s="163"/>
      <c r="H106" s="163"/>
      <c r="I106" s="163"/>
      <c r="J106" s="164"/>
    </row>
    <row r="107" spans="2:10" ht="13.15" customHeight="1">
      <c r="B107" s="107" t="s">
        <v>303</v>
      </c>
      <c r="C107" s="109"/>
      <c r="D107" s="109"/>
      <c r="E107" s="109"/>
      <c r="F107" s="109"/>
      <c r="G107" s="109"/>
      <c r="H107" s="109"/>
      <c r="I107" s="109"/>
      <c r="J107" s="110"/>
    </row>
    <row r="108" spans="2:10" ht="13.15" customHeight="1">
      <c r="B108" s="107" t="s">
        <v>304</v>
      </c>
      <c r="C108" s="109"/>
      <c r="D108" s="109"/>
      <c r="E108" s="109"/>
      <c r="F108" s="109"/>
      <c r="G108" s="109"/>
      <c r="H108" s="109"/>
      <c r="I108" s="109"/>
      <c r="J108" s="110"/>
    </row>
    <row r="109" spans="2:10" ht="13.15" customHeight="1">
      <c r="B109" s="159" t="s">
        <v>321</v>
      </c>
      <c r="C109" s="109"/>
      <c r="D109" s="109"/>
      <c r="E109" s="109"/>
      <c r="F109" s="109"/>
      <c r="G109" s="109"/>
      <c r="H109" s="109"/>
      <c r="I109" s="109"/>
      <c r="J109" s="110"/>
    </row>
    <row r="110" spans="2:10" ht="13.15" customHeight="1">
      <c r="B110" s="428" t="s">
        <v>340</v>
      </c>
      <c r="C110" s="441"/>
      <c r="D110" s="441"/>
      <c r="E110" s="441"/>
      <c r="F110" s="441"/>
      <c r="G110" s="441"/>
      <c r="H110" s="441"/>
      <c r="I110" s="441"/>
      <c r="J110" s="442"/>
    </row>
    <row r="111" spans="2:10" ht="13.15" customHeight="1">
      <c r="B111" s="434"/>
      <c r="C111" s="441"/>
      <c r="D111" s="441"/>
      <c r="E111" s="441"/>
      <c r="F111" s="441"/>
      <c r="G111" s="441"/>
      <c r="H111" s="441"/>
      <c r="I111" s="441"/>
      <c r="J111" s="442"/>
    </row>
    <row r="112" spans="2:10" ht="13.15" customHeight="1">
      <c r="B112" s="434"/>
      <c r="C112" s="441"/>
      <c r="D112" s="441"/>
      <c r="E112" s="441"/>
      <c r="F112" s="441"/>
      <c r="G112" s="441"/>
      <c r="H112" s="441"/>
      <c r="I112" s="441"/>
      <c r="J112" s="442"/>
    </row>
    <row r="113" spans="2:10" ht="13.15" customHeight="1">
      <c r="B113" s="434"/>
      <c r="C113" s="441"/>
      <c r="D113" s="441"/>
      <c r="E113" s="441"/>
      <c r="F113" s="441"/>
      <c r="G113" s="441"/>
      <c r="H113" s="441"/>
      <c r="I113" s="441"/>
      <c r="J113" s="442"/>
    </row>
    <row r="114" spans="2:10" ht="13.15" customHeight="1">
      <c r="B114" s="434"/>
      <c r="C114" s="441"/>
      <c r="D114" s="441"/>
      <c r="E114" s="441"/>
      <c r="F114" s="441"/>
      <c r="G114" s="441"/>
      <c r="H114" s="441"/>
      <c r="I114" s="441"/>
      <c r="J114" s="442"/>
    </row>
    <row r="115" spans="2:10" ht="13.15" customHeight="1">
      <c r="B115" s="434"/>
      <c r="C115" s="441"/>
      <c r="D115" s="441"/>
      <c r="E115" s="441"/>
      <c r="F115" s="441"/>
      <c r="G115" s="441"/>
      <c r="H115" s="441"/>
      <c r="I115" s="441"/>
      <c r="J115" s="442"/>
    </row>
    <row r="116" spans="2:10" ht="13.15" customHeight="1">
      <c r="B116" s="434"/>
      <c r="C116" s="441"/>
      <c r="D116" s="441"/>
      <c r="E116" s="441"/>
      <c r="F116" s="441"/>
      <c r="G116" s="441"/>
      <c r="H116" s="441"/>
      <c r="I116" s="441"/>
      <c r="J116" s="442"/>
    </row>
    <row r="117" spans="2:10" ht="13.15" customHeight="1">
      <c r="B117" s="271" t="s">
        <v>24</v>
      </c>
      <c r="C117" s="248"/>
      <c r="D117" s="248"/>
      <c r="E117" s="248"/>
      <c r="F117" s="248"/>
      <c r="G117" s="248"/>
      <c r="H117" s="248"/>
      <c r="I117" s="248"/>
      <c r="J117" s="160"/>
    </row>
    <row r="118" spans="2:10" ht="13.15" customHeight="1">
      <c r="B118" s="434" t="s">
        <v>45</v>
      </c>
      <c r="C118" s="441"/>
      <c r="D118" s="441"/>
      <c r="E118" s="441"/>
      <c r="F118" s="441"/>
      <c r="G118" s="441"/>
      <c r="H118" s="441"/>
      <c r="I118" s="441"/>
      <c r="J118" s="442"/>
    </row>
    <row r="119" spans="2:10" ht="13.15" customHeight="1">
      <c r="B119" s="434"/>
      <c r="C119" s="441"/>
      <c r="D119" s="441"/>
      <c r="E119" s="441"/>
      <c r="F119" s="441"/>
      <c r="G119" s="441"/>
      <c r="H119" s="441"/>
      <c r="I119" s="441"/>
      <c r="J119" s="442"/>
    </row>
    <row r="120" spans="2:10" ht="13.15" customHeight="1">
      <c r="B120" s="434"/>
      <c r="C120" s="441"/>
      <c r="D120" s="441"/>
      <c r="E120" s="441"/>
      <c r="F120" s="441"/>
      <c r="G120" s="441"/>
      <c r="H120" s="441"/>
      <c r="I120" s="441"/>
      <c r="J120" s="442"/>
    </row>
    <row r="121" spans="2:10" ht="13.15" customHeight="1">
      <c r="B121" s="434"/>
      <c r="C121" s="441"/>
      <c r="D121" s="441"/>
      <c r="E121" s="441"/>
      <c r="F121" s="441"/>
      <c r="G121" s="441"/>
      <c r="H121" s="441"/>
      <c r="I121" s="441"/>
      <c r="J121" s="442"/>
    </row>
    <row r="122" spans="2:10" ht="13.15" customHeight="1">
      <c r="B122" s="434"/>
      <c r="C122" s="441"/>
      <c r="D122" s="441"/>
      <c r="E122" s="441"/>
      <c r="F122" s="441"/>
      <c r="G122" s="441"/>
      <c r="H122" s="441"/>
      <c r="I122" s="441"/>
      <c r="J122" s="442"/>
    </row>
    <row r="123" spans="2:10" ht="13.15" customHeight="1">
      <c r="B123" s="434"/>
      <c r="C123" s="441"/>
      <c r="D123" s="441"/>
      <c r="E123" s="441"/>
      <c r="F123" s="441"/>
      <c r="G123" s="441"/>
      <c r="H123" s="441"/>
      <c r="I123" s="441"/>
      <c r="J123" s="442"/>
    </row>
    <row r="124" spans="2:10" ht="13.15" customHeight="1">
      <c r="B124" s="434"/>
      <c r="C124" s="441"/>
      <c r="D124" s="441"/>
      <c r="E124" s="441"/>
      <c r="F124" s="441"/>
      <c r="G124" s="441"/>
      <c r="H124" s="441"/>
      <c r="I124" s="441"/>
      <c r="J124" s="442"/>
    </row>
    <row r="125" spans="2:10" ht="13.15" customHeight="1">
      <c r="B125" s="467"/>
      <c r="C125" s="468"/>
      <c r="D125" s="468"/>
      <c r="E125" s="468"/>
      <c r="F125" s="468"/>
      <c r="G125" s="468"/>
      <c r="H125" s="468"/>
      <c r="I125" s="468"/>
      <c r="J125" s="469"/>
    </row>
    <row r="126" spans="2:10">
      <c r="B126" s="158"/>
      <c r="C126" s="158"/>
      <c r="D126" s="158"/>
      <c r="E126" s="158"/>
      <c r="F126" s="158"/>
      <c r="G126" s="158"/>
      <c r="H126" s="158"/>
      <c r="I126" s="158"/>
      <c r="J126" s="158"/>
    </row>
    <row r="127" spans="2:10">
      <c r="B127" s="119" t="s">
        <v>236</v>
      </c>
      <c r="C127" s="167"/>
      <c r="D127" s="167"/>
      <c r="E127" s="167"/>
      <c r="F127" s="167"/>
      <c r="G127" s="167"/>
      <c r="H127" s="167"/>
      <c r="I127" s="167"/>
      <c r="J127" s="168"/>
    </row>
    <row r="128" spans="2:10">
      <c r="B128" s="159" t="s">
        <v>198</v>
      </c>
      <c r="C128" s="109"/>
      <c r="D128" s="109"/>
      <c r="E128" s="109"/>
      <c r="F128" s="109"/>
      <c r="G128" s="109"/>
      <c r="H128" s="109"/>
      <c r="I128" s="109"/>
      <c r="J128" s="110"/>
    </row>
    <row r="129" spans="2:10">
      <c r="B129" s="425" t="s">
        <v>48</v>
      </c>
      <c r="C129" s="426"/>
      <c r="D129" s="426"/>
      <c r="E129" s="426"/>
      <c r="F129" s="426"/>
      <c r="G129" s="426"/>
      <c r="H129" s="426"/>
      <c r="I129" s="426"/>
      <c r="J129" s="427"/>
    </row>
    <row r="130" spans="2:10">
      <c r="B130" s="425"/>
      <c r="C130" s="426"/>
      <c r="D130" s="426"/>
      <c r="E130" s="426"/>
      <c r="F130" s="426"/>
      <c r="G130" s="426"/>
      <c r="H130" s="426"/>
      <c r="I130" s="426"/>
      <c r="J130" s="427"/>
    </row>
    <row r="131" spans="2:10">
      <c r="B131" s="159" t="s">
        <v>342</v>
      </c>
      <c r="C131" s="161"/>
      <c r="D131" s="161"/>
      <c r="E131" s="161"/>
      <c r="F131" s="161"/>
      <c r="G131" s="161"/>
      <c r="H131" s="161"/>
      <c r="I131" s="161"/>
      <c r="J131" s="190"/>
    </row>
    <row r="132" spans="2:10">
      <c r="B132" s="130" t="s">
        <v>343</v>
      </c>
      <c r="C132" s="161"/>
      <c r="D132" s="161"/>
      <c r="E132" s="161"/>
      <c r="F132" s="161"/>
      <c r="G132" s="161"/>
      <c r="H132" s="161"/>
      <c r="I132" s="161"/>
      <c r="J132" s="190"/>
    </row>
    <row r="133" spans="2:10">
      <c r="B133" s="159" t="s">
        <v>344</v>
      </c>
      <c r="C133" s="161"/>
      <c r="D133" s="161"/>
      <c r="E133" s="161"/>
      <c r="F133" s="161"/>
      <c r="G133" s="161"/>
      <c r="H133" s="161"/>
      <c r="I133" s="161"/>
      <c r="J133" s="190"/>
    </row>
    <row r="134" spans="2:10">
      <c r="B134" s="428" t="s">
        <v>345</v>
      </c>
      <c r="C134" s="435"/>
      <c r="D134" s="435"/>
      <c r="E134" s="435"/>
      <c r="F134" s="435"/>
      <c r="G134" s="435"/>
      <c r="H134" s="435"/>
      <c r="I134" s="435"/>
      <c r="J134" s="436"/>
    </row>
    <row r="135" spans="2:10">
      <c r="B135" s="437"/>
      <c r="C135" s="435"/>
      <c r="D135" s="435"/>
      <c r="E135" s="435"/>
      <c r="F135" s="435"/>
      <c r="G135" s="435"/>
      <c r="H135" s="435"/>
      <c r="I135" s="435"/>
      <c r="J135" s="436"/>
    </row>
    <row r="136" spans="2:10" ht="13.15" customHeight="1">
      <c r="B136" s="159" t="s">
        <v>346</v>
      </c>
      <c r="C136" s="141"/>
      <c r="D136" s="141"/>
      <c r="E136" s="141"/>
      <c r="F136" s="141"/>
      <c r="G136" s="141"/>
      <c r="H136" s="141"/>
      <c r="I136" s="141"/>
      <c r="J136" s="160"/>
    </row>
    <row r="137" spans="2:10" ht="13.15" customHeight="1">
      <c r="B137" s="130" t="s">
        <v>347</v>
      </c>
      <c r="C137" s="141"/>
      <c r="D137" s="141"/>
      <c r="E137" s="141"/>
      <c r="F137" s="141"/>
      <c r="G137" s="141"/>
      <c r="H137" s="141"/>
      <c r="I137" s="141"/>
      <c r="J137" s="160"/>
    </row>
    <row r="138" spans="2:10">
      <c r="B138" s="159" t="s">
        <v>181</v>
      </c>
      <c r="C138" s="109"/>
      <c r="D138" s="109"/>
      <c r="E138" s="109"/>
      <c r="F138" s="109"/>
      <c r="G138" s="109"/>
      <c r="H138" s="109"/>
      <c r="I138" s="109"/>
      <c r="J138" s="110"/>
    </row>
    <row r="139" spans="2:10">
      <c r="B139" s="107" t="s">
        <v>348</v>
      </c>
      <c r="C139" s="109"/>
      <c r="D139" s="109"/>
      <c r="E139" s="109"/>
      <c r="F139" s="109"/>
      <c r="G139" s="109"/>
      <c r="H139" s="109"/>
      <c r="I139" s="109"/>
      <c r="J139" s="110"/>
    </row>
    <row r="140" spans="2:10">
      <c r="B140" s="107" t="s">
        <v>341</v>
      </c>
      <c r="C140" s="109"/>
      <c r="D140" s="109"/>
      <c r="E140" s="109"/>
      <c r="F140" s="109"/>
      <c r="G140" s="109"/>
      <c r="H140" s="109"/>
      <c r="I140" s="109"/>
      <c r="J140" s="110"/>
    </row>
    <row r="141" spans="2:10">
      <c r="B141" s="159" t="s">
        <v>160</v>
      </c>
      <c r="C141" s="109"/>
      <c r="D141" s="109"/>
      <c r="E141" s="109"/>
      <c r="F141" s="109"/>
      <c r="G141" s="109"/>
      <c r="H141" s="109"/>
      <c r="I141" s="109"/>
      <c r="J141" s="110"/>
    </row>
    <row r="142" spans="2:10">
      <c r="B142" s="428" t="s">
        <v>277</v>
      </c>
      <c r="C142" s="429"/>
      <c r="D142" s="429"/>
      <c r="E142" s="429"/>
      <c r="F142" s="429"/>
      <c r="G142" s="429"/>
      <c r="H142" s="429"/>
      <c r="I142" s="429"/>
      <c r="J142" s="430"/>
    </row>
    <row r="143" spans="2:10">
      <c r="B143" s="428"/>
      <c r="C143" s="429"/>
      <c r="D143" s="429"/>
      <c r="E143" s="429"/>
      <c r="F143" s="429"/>
      <c r="G143" s="429"/>
      <c r="H143" s="429"/>
      <c r="I143" s="429"/>
      <c r="J143" s="430"/>
    </row>
    <row r="144" spans="2:10">
      <c r="B144" s="428"/>
      <c r="C144" s="429"/>
      <c r="D144" s="429"/>
      <c r="E144" s="429"/>
      <c r="F144" s="429"/>
      <c r="G144" s="429"/>
      <c r="H144" s="429"/>
      <c r="I144" s="429"/>
      <c r="J144" s="430"/>
    </row>
    <row r="145" spans="2:10">
      <c r="B145" s="428"/>
      <c r="C145" s="429"/>
      <c r="D145" s="429"/>
      <c r="E145" s="429"/>
      <c r="F145" s="429"/>
      <c r="G145" s="429"/>
      <c r="H145" s="429"/>
      <c r="I145" s="429"/>
      <c r="J145" s="430"/>
    </row>
    <row r="146" spans="2:10">
      <c r="B146" s="159" t="s">
        <v>162</v>
      </c>
      <c r="C146" s="109"/>
      <c r="D146" s="109"/>
      <c r="E146" s="109"/>
      <c r="F146" s="109"/>
      <c r="G146" s="109"/>
      <c r="H146" s="109"/>
      <c r="I146" s="109"/>
      <c r="J146" s="110"/>
    </row>
    <row r="147" spans="2:10">
      <c r="B147" s="425" t="s">
        <v>278</v>
      </c>
      <c r="C147" s="426"/>
      <c r="D147" s="426"/>
      <c r="E147" s="426"/>
      <c r="F147" s="426"/>
      <c r="G147" s="426"/>
      <c r="H147" s="426"/>
      <c r="I147" s="426"/>
      <c r="J147" s="427"/>
    </row>
    <row r="148" spans="2:10">
      <c r="B148" s="425"/>
      <c r="C148" s="426"/>
      <c r="D148" s="426"/>
      <c r="E148" s="426"/>
      <c r="F148" s="426"/>
      <c r="G148" s="426"/>
      <c r="H148" s="426"/>
      <c r="I148" s="426"/>
      <c r="J148" s="427"/>
    </row>
    <row r="149" spans="2:10">
      <c r="B149" s="425"/>
      <c r="C149" s="426"/>
      <c r="D149" s="426"/>
      <c r="E149" s="426"/>
      <c r="F149" s="426"/>
      <c r="G149" s="426"/>
      <c r="H149" s="426"/>
      <c r="I149" s="426"/>
      <c r="J149" s="427"/>
    </row>
    <row r="150" spans="2:10">
      <c r="B150" s="157"/>
      <c r="C150" s="116"/>
      <c r="D150" s="116"/>
      <c r="E150" s="116"/>
      <c r="F150" s="116"/>
      <c r="G150" s="116"/>
      <c r="H150" s="116"/>
      <c r="I150" s="116"/>
      <c r="J150" s="118"/>
    </row>
    <row r="152" spans="2:10">
      <c r="B152" s="119" t="s">
        <v>350</v>
      </c>
      <c r="C152" s="105"/>
      <c r="D152" s="105"/>
      <c r="E152" s="105"/>
      <c r="F152" s="105"/>
      <c r="G152" s="105"/>
      <c r="H152" s="105"/>
      <c r="I152" s="105"/>
      <c r="J152" s="106"/>
    </row>
    <row r="153" spans="2:10">
      <c r="B153" s="428" t="s">
        <v>349</v>
      </c>
      <c r="C153" s="429"/>
      <c r="D153" s="429"/>
      <c r="E153" s="429"/>
      <c r="F153" s="429"/>
      <c r="G153" s="429"/>
      <c r="H153" s="429"/>
      <c r="I153" s="429"/>
      <c r="J153" s="430"/>
    </row>
    <row r="154" spans="2:10">
      <c r="B154" s="428"/>
      <c r="C154" s="429"/>
      <c r="D154" s="429"/>
      <c r="E154" s="429"/>
      <c r="F154" s="429"/>
      <c r="G154" s="429"/>
      <c r="H154" s="429"/>
      <c r="I154" s="429"/>
      <c r="J154" s="430"/>
    </row>
    <row r="155" spans="2:10">
      <c r="B155" s="148" t="s">
        <v>351</v>
      </c>
      <c r="C155" s="109"/>
      <c r="D155" s="109"/>
      <c r="E155" s="109"/>
      <c r="F155" s="109"/>
      <c r="G155" s="109"/>
      <c r="H155" s="109"/>
      <c r="I155" s="109"/>
      <c r="J155" s="110"/>
    </row>
    <row r="156" spans="2:10">
      <c r="B156" s="159" t="s">
        <v>371</v>
      </c>
      <c r="C156" s="109"/>
      <c r="D156" s="109"/>
      <c r="E156" s="109"/>
      <c r="F156" s="109"/>
      <c r="G156" s="109"/>
      <c r="H156" s="109"/>
      <c r="I156" s="109"/>
      <c r="J156" s="110"/>
    </row>
    <row r="157" spans="2:10">
      <c r="B157" s="428" t="s">
        <v>4</v>
      </c>
      <c r="C157" s="429"/>
      <c r="D157" s="429"/>
      <c r="E157" s="429"/>
      <c r="F157" s="429"/>
      <c r="G157" s="429"/>
      <c r="H157" s="429"/>
      <c r="I157" s="429"/>
      <c r="J157" s="430"/>
    </row>
    <row r="158" spans="2:10">
      <c r="B158" s="428"/>
      <c r="C158" s="429"/>
      <c r="D158" s="429"/>
      <c r="E158" s="429"/>
      <c r="F158" s="429"/>
      <c r="G158" s="429"/>
      <c r="H158" s="429"/>
      <c r="I158" s="429"/>
      <c r="J158" s="430"/>
    </row>
    <row r="159" spans="2:10">
      <c r="B159" s="434"/>
      <c r="C159" s="441"/>
      <c r="D159" s="441"/>
      <c r="E159" s="441"/>
      <c r="F159" s="441"/>
      <c r="G159" s="441"/>
      <c r="H159" s="441"/>
      <c r="I159" s="441"/>
      <c r="J159" s="442"/>
    </row>
    <row r="160" spans="2:10">
      <c r="B160" s="249" t="s">
        <v>372</v>
      </c>
      <c r="C160" s="248"/>
      <c r="D160" s="248"/>
      <c r="E160" s="248"/>
      <c r="F160" s="248"/>
      <c r="G160" s="248"/>
      <c r="H160" s="248"/>
      <c r="I160" s="248"/>
      <c r="J160" s="160"/>
    </row>
    <row r="161" spans="2:10">
      <c r="B161" s="434" t="s">
        <v>1</v>
      </c>
      <c r="C161" s="435"/>
      <c r="D161" s="435"/>
      <c r="E161" s="435"/>
      <c r="F161" s="435"/>
      <c r="G161" s="435"/>
      <c r="H161" s="435"/>
      <c r="I161" s="435"/>
      <c r="J161" s="436"/>
    </row>
    <row r="162" spans="2:10">
      <c r="B162" s="434"/>
      <c r="C162" s="435"/>
      <c r="D162" s="435"/>
      <c r="E162" s="435"/>
      <c r="F162" s="435"/>
      <c r="G162" s="435"/>
      <c r="H162" s="435"/>
      <c r="I162" s="435"/>
      <c r="J162" s="436"/>
    </row>
    <row r="163" spans="2:10">
      <c r="B163" s="434"/>
      <c r="C163" s="435"/>
      <c r="D163" s="435"/>
      <c r="E163" s="435"/>
      <c r="F163" s="435"/>
      <c r="G163" s="435"/>
      <c r="H163" s="435"/>
      <c r="I163" s="435"/>
      <c r="J163" s="436"/>
    </row>
    <row r="164" spans="2:10">
      <c r="B164" s="437"/>
      <c r="C164" s="435"/>
      <c r="D164" s="435"/>
      <c r="E164" s="435"/>
      <c r="F164" s="435"/>
      <c r="G164" s="435"/>
      <c r="H164" s="435"/>
      <c r="I164" s="435"/>
      <c r="J164" s="436"/>
    </row>
    <row r="165" spans="2:10">
      <c r="B165" s="437"/>
      <c r="C165" s="435"/>
      <c r="D165" s="435"/>
      <c r="E165" s="435"/>
      <c r="F165" s="435"/>
      <c r="G165" s="435"/>
      <c r="H165" s="435"/>
      <c r="I165" s="435"/>
      <c r="J165" s="436"/>
    </row>
    <row r="166" spans="2:10">
      <c r="B166" s="438"/>
      <c r="C166" s="439"/>
      <c r="D166" s="439"/>
      <c r="E166" s="439"/>
      <c r="F166" s="439"/>
      <c r="G166" s="439"/>
      <c r="H166" s="439"/>
      <c r="I166" s="439"/>
      <c r="J166" s="440"/>
    </row>
    <row r="167" spans="2:10">
      <c r="B167" s="272"/>
      <c r="C167" s="272"/>
      <c r="D167" s="272"/>
      <c r="E167" s="272"/>
      <c r="F167" s="272"/>
      <c r="G167" s="272"/>
      <c r="H167" s="272"/>
      <c r="I167" s="272"/>
      <c r="J167" s="272"/>
    </row>
    <row r="168" spans="2:10">
      <c r="B168" s="286" t="s">
        <v>25</v>
      </c>
      <c r="C168" s="275"/>
      <c r="D168" s="275"/>
      <c r="E168" s="275"/>
      <c r="F168" s="275"/>
      <c r="G168" s="275"/>
      <c r="H168" s="275"/>
      <c r="I168" s="275"/>
      <c r="J168" s="276"/>
    </row>
    <row r="169" spans="2:10">
      <c r="B169" s="287" t="s">
        <v>26</v>
      </c>
      <c r="C169" s="273"/>
      <c r="D169" s="273"/>
      <c r="E169" s="273"/>
      <c r="F169" s="273"/>
      <c r="G169" s="273"/>
      <c r="H169" s="273"/>
      <c r="I169" s="273"/>
      <c r="J169" s="277"/>
    </row>
    <row r="170" spans="2:10">
      <c r="B170" s="434" t="s">
        <v>49</v>
      </c>
      <c r="C170" s="435"/>
      <c r="D170" s="435"/>
      <c r="E170" s="435"/>
      <c r="F170" s="435"/>
      <c r="G170" s="435"/>
      <c r="H170" s="435"/>
      <c r="I170" s="435"/>
      <c r="J170" s="436"/>
    </row>
    <row r="171" spans="2:10">
      <c r="B171" s="437"/>
      <c r="C171" s="435"/>
      <c r="D171" s="435"/>
      <c r="E171" s="435"/>
      <c r="F171" s="435"/>
      <c r="G171" s="435"/>
      <c r="H171" s="435"/>
      <c r="I171" s="435"/>
      <c r="J171" s="436"/>
    </row>
    <row r="172" spans="2:10">
      <c r="B172" s="287" t="s">
        <v>36</v>
      </c>
      <c r="C172" s="273"/>
      <c r="D172" s="273"/>
      <c r="E172" s="273"/>
      <c r="F172" s="273"/>
      <c r="G172" s="273"/>
      <c r="H172" s="273"/>
      <c r="I172" s="273"/>
      <c r="J172" s="277"/>
    </row>
    <row r="173" spans="2:10">
      <c r="B173" s="287" t="s">
        <v>37</v>
      </c>
      <c r="C173" s="273"/>
      <c r="D173" s="273"/>
      <c r="E173" s="273"/>
      <c r="F173" s="273"/>
      <c r="G173" s="273"/>
      <c r="H173" s="273"/>
      <c r="I173" s="273"/>
      <c r="J173" s="277"/>
    </row>
    <row r="174" spans="2:10">
      <c r="B174" s="287" t="s">
        <v>38</v>
      </c>
      <c r="C174" s="273"/>
      <c r="D174" s="273"/>
      <c r="E174" s="273"/>
      <c r="F174" s="273"/>
      <c r="G174" s="273"/>
      <c r="H174" s="273"/>
      <c r="I174" s="273"/>
      <c r="J174" s="277"/>
    </row>
    <row r="175" spans="2:10">
      <c r="B175" s="287" t="s">
        <v>39</v>
      </c>
      <c r="C175" s="273"/>
      <c r="D175" s="273"/>
      <c r="E175" s="273"/>
      <c r="F175" s="273"/>
      <c r="G175" s="273"/>
      <c r="H175" s="273"/>
      <c r="I175" s="273"/>
      <c r="J175" s="277"/>
    </row>
    <row r="176" spans="2:10">
      <c r="B176" s="287" t="s">
        <v>40</v>
      </c>
      <c r="C176" s="273"/>
      <c r="D176" s="273"/>
      <c r="E176" s="273"/>
      <c r="F176" s="273"/>
      <c r="G176" s="273"/>
      <c r="H176" s="273"/>
      <c r="I176" s="273"/>
      <c r="J176" s="277"/>
    </row>
    <row r="177" spans="2:10">
      <c r="B177" s="287" t="s">
        <v>105</v>
      </c>
      <c r="C177" s="273"/>
      <c r="D177" s="273"/>
      <c r="E177" s="273"/>
      <c r="F177" s="273"/>
      <c r="G177" s="273"/>
      <c r="H177" s="273"/>
      <c r="I177" s="273"/>
      <c r="J177" s="277"/>
    </row>
    <row r="178" spans="2:10">
      <c r="B178" s="288" t="s">
        <v>41</v>
      </c>
      <c r="C178" s="273"/>
      <c r="D178" s="273"/>
      <c r="E178" s="273"/>
      <c r="F178" s="273"/>
      <c r="G178" s="273"/>
      <c r="H178" s="273"/>
      <c r="I178" s="273"/>
      <c r="J178" s="277"/>
    </row>
    <row r="179" spans="2:10">
      <c r="B179" s="287" t="s">
        <v>42</v>
      </c>
      <c r="C179" s="273"/>
      <c r="D179" s="273"/>
      <c r="E179" s="273"/>
      <c r="F179" s="273"/>
      <c r="G179" s="273"/>
      <c r="H179" s="273"/>
      <c r="I179" s="273"/>
      <c r="J179" s="277"/>
    </row>
    <row r="180" spans="2:10">
      <c r="B180" s="434" t="s">
        <v>101</v>
      </c>
      <c r="C180" s="441"/>
      <c r="D180" s="441"/>
      <c r="E180" s="441"/>
      <c r="F180" s="441"/>
      <c r="G180" s="441"/>
      <c r="H180" s="441"/>
      <c r="I180" s="441"/>
      <c r="J180" s="442"/>
    </row>
    <row r="181" spans="2:10">
      <c r="B181" s="434"/>
      <c r="C181" s="441"/>
      <c r="D181" s="441"/>
      <c r="E181" s="441"/>
      <c r="F181" s="441"/>
      <c r="G181" s="441"/>
      <c r="H181" s="441"/>
      <c r="I181" s="441"/>
      <c r="J181" s="442"/>
    </row>
    <row r="182" spans="2:10">
      <c r="B182" s="434"/>
      <c r="C182" s="441"/>
      <c r="D182" s="441"/>
      <c r="E182" s="441"/>
      <c r="F182" s="441"/>
      <c r="G182" s="441"/>
      <c r="H182" s="441"/>
      <c r="I182" s="441"/>
      <c r="J182" s="442"/>
    </row>
    <row r="183" spans="2:10">
      <c r="B183" s="434"/>
      <c r="C183" s="441"/>
      <c r="D183" s="441"/>
      <c r="E183" s="441"/>
      <c r="F183" s="441"/>
      <c r="G183" s="441"/>
      <c r="H183" s="441"/>
      <c r="I183" s="441"/>
      <c r="J183" s="442"/>
    </row>
    <row r="184" spans="2:10">
      <c r="B184" s="434"/>
      <c r="C184" s="441"/>
      <c r="D184" s="441"/>
      <c r="E184" s="441"/>
      <c r="F184" s="441"/>
      <c r="G184" s="441"/>
      <c r="H184" s="441"/>
      <c r="I184" s="441"/>
      <c r="J184" s="442"/>
    </row>
    <row r="185" spans="2:10">
      <c r="B185" s="434"/>
      <c r="C185" s="441"/>
      <c r="D185" s="441"/>
      <c r="E185" s="441"/>
      <c r="F185" s="441"/>
      <c r="G185" s="441"/>
      <c r="H185" s="441"/>
      <c r="I185" s="441"/>
      <c r="J185" s="442"/>
    </row>
    <row r="186" spans="2:10">
      <c r="B186" s="289" t="s">
        <v>102</v>
      </c>
      <c r="C186" s="248"/>
      <c r="D186" s="248"/>
      <c r="E186" s="248"/>
      <c r="F186" s="248"/>
      <c r="G186" s="248"/>
      <c r="H186" s="248"/>
      <c r="I186" s="248"/>
      <c r="J186" s="160"/>
    </row>
    <row r="187" spans="2:10">
      <c r="B187" s="434" t="s">
        <v>103</v>
      </c>
      <c r="C187" s="444"/>
      <c r="D187" s="444"/>
      <c r="E187" s="444"/>
      <c r="F187" s="444"/>
      <c r="G187" s="444"/>
      <c r="H187" s="444"/>
      <c r="I187" s="444"/>
      <c r="J187" s="436"/>
    </row>
    <row r="188" spans="2:10">
      <c r="B188" s="437"/>
      <c r="C188" s="444"/>
      <c r="D188" s="444"/>
      <c r="E188" s="444"/>
      <c r="F188" s="444"/>
      <c r="G188" s="444"/>
      <c r="H188" s="444"/>
      <c r="I188" s="444"/>
      <c r="J188" s="436"/>
    </row>
    <row r="189" spans="2:10">
      <c r="B189" s="280"/>
      <c r="C189" s="278"/>
      <c r="D189" s="278"/>
      <c r="E189" s="278"/>
      <c r="F189" s="278"/>
      <c r="G189" s="278"/>
      <c r="H189" s="278"/>
      <c r="I189" s="278"/>
      <c r="J189" s="279"/>
    </row>
    <row r="190" spans="2:10">
      <c r="B190" s="274"/>
      <c r="C190" s="274"/>
      <c r="D190" s="274"/>
      <c r="E190" s="274"/>
      <c r="F190" s="274"/>
      <c r="G190" s="274"/>
      <c r="H190" s="274"/>
      <c r="I190" s="274"/>
      <c r="J190" s="274"/>
    </row>
    <row r="191" spans="2:10">
      <c r="B191" s="286" t="s">
        <v>27</v>
      </c>
      <c r="C191" s="275"/>
      <c r="D191" s="275"/>
      <c r="E191" s="275"/>
      <c r="F191" s="275"/>
      <c r="G191" s="275"/>
      <c r="H191" s="275"/>
      <c r="I191" s="275"/>
      <c r="J191" s="276"/>
    </row>
    <row r="192" spans="2:10">
      <c r="B192" s="291" t="s">
        <v>89</v>
      </c>
      <c r="C192" s="273"/>
      <c r="D192" s="273"/>
      <c r="E192" s="273"/>
      <c r="F192" s="273"/>
      <c r="G192" s="273"/>
      <c r="H192" s="273"/>
      <c r="I192" s="273"/>
      <c r="J192" s="277"/>
    </row>
    <row r="193" spans="2:10">
      <c r="B193" s="288" t="s">
        <v>34</v>
      </c>
      <c r="C193" s="273"/>
      <c r="D193" s="273"/>
      <c r="E193" s="273"/>
      <c r="F193" s="273"/>
      <c r="G193" s="273"/>
      <c r="H193" s="273"/>
      <c r="I193" s="273"/>
      <c r="J193" s="277"/>
    </row>
    <row r="194" spans="2:10">
      <c r="B194" s="287" t="s">
        <v>28</v>
      </c>
      <c r="C194" s="273"/>
      <c r="D194" s="273"/>
      <c r="E194" s="273"/>
      <c r="F194" s="273"/>
      <c r="G194" s="273"/>
      <c r="H194" s="273"/>
      <c r="I194" s="273"/>
      <c r="J194" s="277"/>
    </row>
    <row r="195" spans="2:10">
      <c r="B195" s="287" t="s">
        <v>29</v>
      </c>
      <c r="C195" s="273"/>
      <c r="D195" s="273"/>
      <c r="E195" s="273"/>
      <c r="F195" s="273"/>
      <c r="G195" s="273"/>
      <c r="H195" s="273"/>
      <c r="I195" s="273"/>
      <c r="J195" s="277"/>
    </row>
    <row r="196" spans="2:10">
      <c r="B196" s="288" t="s">
        <v>30</v>
      </c>
      <c r="C196" s="273"/>
      <c r="D196" s="273"/>
      <c r="E196" s="273"/>
      <c r="F196" s="273"/>
      <c r="G196" s="273"/>
      <c r="H196" s="273"/>
      <c r="I196" s="273"/>
      <c r="J196" s="277"/>
    </row>
    <row r="197" spans="2:10">
      <c r="B197" s="107" t="s">
        <v>31</v>
      </c>
      <c r="C197" s="273"/>
      <c r="D197" s="273"/>
      <c r="E197" s="273"/>
      <c r="F197" s="273"/>
      <c r="G197" s="273"/>
      <c r="H197" s="273"/>
      <c r="I197" s="273"/>
      <c r="J197" s="277"/>
    </row>
    <row r="198" spans="2:10">
      <c r="B198" s="443" t="s">
        <v>35</v>
      </c>
      <c r="C198" s="444"/>
      <c r="D198" s="444"/>
      <c r="E198" s="444"/>
      <c r="F198" s="444"/>
      <c r="G198" s="444"/>
      <c r="H198" s="444"/>
      <c r="I198" s="444"/>
      <c r="J198" s="436"/>
    </row>
    <row r="199" spans="2:10">
      <c r="B199" s="437"/>
      <c r="C199" s="444"/>
      <c r="D199" s="444"/>
      <c r="E199" s="444"/>
      <c r="F199" s="444"/>
      <c r="G199" s="444"/>
      <c r="H199" s="444"/>
      <c r="I199" s="444"/>
      <c r="J199" s="436"/>
    </row>
    <row r="200" spans="2:10">
      <c r="B200" s="288" t="s">
        <v>32</v>
      </c>
      <c r="C200" s="248"/>
      <c r="D200" s="248"/>
      <c r="E200" s="248"/>
      <c r="F200" s="248"/>
      <c r="G200" s="248"/>
      <c r="H200" s="248"/>
      <c r="I200" s="248"/>
      <c r="J200" s="160"/>
    </row>
    <row r="201" spans="2:10">
      <c r="B201" s="287" t="s">
        <v>43</v>
      </c>
      <c r="C201" s="273"/>
      <c r="D201" s="248"/>
      <c r="E201" s="248"/>
      <c r="F201" s="248"/>
      <c r="G201" s="248"/>
      <c r="H201" s="248"/>
      <c r="I201" s="248"/>
      <c r="J201" s="160"/>
    </row>
    <row r="202" spans="2:10">
      <c r="B202" s="287" t="s">
        <v>44</v>
      </c>
      <c r="C202" s="273"/>
      <c r="D202" s="248"/>
      <c r="E202" s="248"/>
      <c r="F202" s="248"/>
      <c r="G202" s="248"/>
      <c r="H202" s="248"/>
      <c r="I202" s="248"/>
      <c r="J202" s="160"/>
    </row>
    <row r="203" spans="2:10">
      <c r="B203" s="287" t="s">
        <v>33</v>
      </c>
      <c r="C203" s="273"/>
      <c r="D203" s="248"/>
      <c r="E203" s="248"/>
      <c r="F203" s="248"/>
      <c r="G203" s="248"/>
      <c r="H203" s="248"/>
      <c r="I203" s="248"/>
      <c r="J203" s="160"/>
    </row>
    <row r="204" spans="2:10">
      <c r="B204" s="290"/>
      <c r="C204" s="278"/>
      <c r="D204" s="278"/>
      <c r="E204" s="278"/>
      <c r="F204" s="278"/>
      <c r="G204" s="278"/>
      <c r="H204" s="278"/>
      <c r="I204" s="278"/>
      <c r="J204" s="279"/>
    </row>
    <row r="206" spans="2:10">
      <c r="B206" s="119" t="s">
        <v>2</v>
      </c>
      <c r="C206" s="105"/>
      <c r="D206" s="105"/>
      <c r="E206" s="105"/>
      <c r="F206" s="105"/>
      <c r="G206" s="105"/>
      <c r="H206" s="105"/>
      <c r="I206" s="105"/>
      <c r="J206" s="106"/>
    </row>
    <row r="207" spans="2:10">
      <c r="B207" s="428" t="s">
        <v>3</v>
      </c>
      <c r="C207" s="429"/>
      <c r="D207" s="429"/>
      <c r="E207" s="429"/>
      <c r="F207" s="429"/>
      <c r="G207" s="429"/>
      <c r="H207" s="429"/>
      <c r="I207" s="429"/>
      <c r="J207" s="430"/>
    </row>
    <row r="208" spans="2:10">
      <c r="B208" s="428"/>
      <c r="C208" s="429"/>
      <c r="D208" s="429"/>
      <c r="E208" s="429"/>
      <c r="F208" s="429"/>
      <c r="G208" s="429"/>
      <c r="H208" s="429"/>
      <c r="I208" s="429"/>
      <c r="J208" s="430"/>
    </row>
    <row r="209" spans="2:10">
      <c r="B209" s="431"/>
      <c r="C209" s="432"/>
      <c r="D209" s="432"/>
      <c r="E209" s="432"/>
      <c r="F209" s="432"/>
      <c r="G209" s="432"/>
      <c r="H209" s="432"/>
      <c r="I209" s="432"/>
      <c r="J209" s="433"/>
    </row>
  </sheetData>
  <sheetProtection password="FD2D" sheet="1" objects="1"/>
  <mergeCells count="37">
    <mergeCell ref="B134:J135"/>
    <mergeCell ref="B118:J125"/>
    <mergeCell ref="B99:J100"/>
    <mergeCell ref="B57:C58"/>
    <mergeCell ref="B75:J87"/>
    <mergeCell ref="B65:C66"/>
    <mergeCell ref="B71:C72"/>
    <mergeCell ref="B68:C70"/>
    <mergeCell ref="D71:I72"/>
    <mergeCell ref="J71:J72"/>
    <mergeCell ref="B129:J130"/>
    <mergeCell ref="D65:I66"/>
    <mergeCell ref="D57:I58"/>
    <mergeCell ref="B110:J116"/>
    <mergeCell ref="J68:J70"/>
    <mergeCell ref="J57:J58"/>
    <mergeCell ref="J65:J66"/>
    <mergeCell ref="B89:J97"/>
    <mergeCell ref="B1:J1"/>
    <mergeCell ref="B142:J145"/>
    <mergeCell ref="D68:I70"/>
    <mergeCell ref="B25:J26"/>
    <mergeCell ref="B15:J15"/>
    <mergeCell ref="B32:J33"/>
    <mergeCell ref="B4:J7"/>
    <mergeCell ref="B9:J11"/>
    <mergeCell ref="B40:J41"/>
    <mergeCell ref="B35:J37"/>
    <mergeCell ref="B147:J149"/>
    <mergeCell ref="B207:J209"/>
    <mergeCell ref="B161:J166"/>
    <mergeCell ref="B153:J154"/>
    <mergeCell ref="B157:J159"/>
    <mergeCell ref="B198:J199"/>
    <mergeCell ref="B180:J185"/>
    <mergeCell ref="B187:J188"/>
    <mergeCell ref="B170:J171"/>
  </mergeCells>
  <phoneticPr fontId="10" type="noConversion"/>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J46"/>
  <sheetViews>
    <sheetView showGridLines="0" showRowColHeaders="0" zoomScale="85" workbookViewId="0"/>
  </sheetViews>
  <sheetFormatPr defaultColWidth="8.85546875" defaultRowHeight="12.75"/>
  <cols>
    <col min="1" max="1" width="6.7109375" style="86" customWidth="1"/>
    <col min="2" max="10" width="12.5703125" style="86" customWidth="1"/>
    <col min="11" max="16384" width="8.85546875" style="86"/>
  </cols>
  <sheetData>
    <row r="1" spans="2:10" ht="27">
      <c r="B1" s="445" t="s">
        <v>234</v>
      </c>
      <c r="C1" s="445"/>
      <c r="D1" s="445"/>
      <c r="E1" s="445"/>
      <c r="F1" s="445"/>
      <c r="G1" s="445"/>
      <c r="H1" s="445"/>
      <c r="I1" s="445"/>
      <c r="J1" s="445"/>
    </row>
    <row r="3" spans="2:10">
      <c r="B3" s="119" t="s">
        <v>234</v>
      </c>
      <c r="C3" s="105"/>
      <c r="D3" s="105"/>
      <c r="E3" s="105"/>
      <c r="F3" s="105"/>
      <c r="G3" s="105"/>
      <c r="H3" s="105"/>
      <c r="I3" s="105"/>
      <c r="J3" s="106"/>
    </row>
    <row r="4" spans="2:10">
      <c r="B4" s="428" t="s">
        <v>297</v>
      </c>
      <c r="C4" s="449"/>
      <c r="D4" s="449"/>
      <c r="E4" s="449"/>
      <c r="F4" s="449"/>
      <c r="G4" s="449"/>
      <c r="H4" s="449"/>
      <c r="I4" s="449"/>
      <c r="J4" s="450"/>
    </row>
    <row r="5" spans="2:10">
      <c r="B5" s="451"/>
      <c r="C5" s="449"/>
      <c r="D5" s="449"/>
      <c r="E5" s="449"/>
      <c r="F5" s="449"/>
      <c r="G5" s="449"/>
      <c r="H5" s="449"/>
      <c r="I5" s="449"/>
      <c r="J5" s="450"/>
    </row>
    <row r="6" spans="2:10">
      <c r="B6" s="453" t="s">
        <v>296</v>
      </c>
      <c r="C6" s="457"/>
      <c r="D6" s="457"/>
      <c r="E6" s="457"/>
      <c r="F6" s="457"/>
      <c r="G6" s="457"/>
      <c r="H6" s="457"/>
      <c r="I6" s="457"/>
      <c r="J6" s="458"/>
    </row>
    <row r="7" spans="2:10">
      <c r="B7" s="459"/>
      <c r="C7" s="457"/>
      <c r="D7" s="457"/>
      <c r="E7" s="457"/>
      <c r="F7" s="457"/>
      <c r="G7" s="457"/>
      <c r="H7" s="457"/>
      <c r="I7" s="457"/>
      <c r="J7" s="458"/>
    </row>
    <row r="8" spans="2:10">
      <c r="B8" s="459"/>
      <c r="C8" s="457"/>
      <c r="D8" s="457"/>
      <c r="E8" s="457"/>
      <c r="F8" s="457"/>
      <c r="G8" s="457"/>
      <c r="H8" s="457"/>
      <c r="I8" s="457"/>
      <c r="J8" s="458"/>
    </row>
    <row r="9" spans="2:10">
      <c r="B9" s="459"/>
      <c r="C9" s="457"/>
      <c r="D9" s="457"/>
      <c r="E9" s="457"/>
      <c r="F9" s="457"/>
      <c r="G9" s="457"/>
      <c r="H9" s="457"/>
      <c r="I9" s="457"/>
      <c r="J9" s="458"/>
    </row>
    <row r="10" spans="2:10">
      <c r="B10" s="503" t="s">
        <v>177</v>
      </c>
      <c r="C10" s="504"/>
      <c r="D10" s="504"/>
      <c r="E10" s="504"/>
      <c r="F10" s="504"/>
      <c r="G10" s="504"/>
      <c r="H10" s="504"/>
      <c r="I10" s="504"/>
      <c r="J10" s="505"/>
    </row>
    <row r="11" spans="2:10">
      <c r="B11" s="503"/>
      <c r="C11" s="504"/>
      <c r="D11" s="504"/>
      <c r="E11" s="504"/>
      <c r="F11" s="504"/>
      <c r="G11" s="504"/>
      <c r="H11" s="504"/>
      <c r="I11" s="504"/>
      <c r="J11" s="505"/>
    </row>
    <row r="12" spans="2:10">
      <c r="B12" s="107"/>
      <c r="C12" s="109"/>
      <c r="D12" s="109"/>
      <c r="E12" s="109"/>
      <c r="F12" s="109"/>
      <c r="G12" s="109"/>
      <c r="H12" s="109"/>
      <c r="I12" s="109"/>
      <c r="J12" s="110"/>
    </row>
    <row r="13" spans="2:10">
      <c r="B13" s="174" t="s">
        <v>205</v>
      </c>
      <c r="C13" s="173" t="s">
        <v>219</v>
      </c>
      <c r="D13" s="109"/>
      <c r="E13" s="109"/>
      <c r="F13" s="109"/>
      <c r="G13" s="109"/>
      <c r="H13" s="109"/>
      <c r="I13" s="111"/>
      <c r="J13" s="149"/>
    </row>
    <row r="14" spans="2:10">
      <c r="B14" s="148"/>
      <c r="C14" s="173" t="s">
        <v>220</v>
      </c>
      <c r="D14" s="109"/>
      <c r="E14" s="109"/>
      <c r="F14" s="109"/>
      <c r="G14" s="109"/>
      <c r="H14" s="109"/>
      <c r="I14" s="502" t="s">
        <v>229</v>
      </c>
      <c r="J14" s="450"/>
    </row>
    <row r="15" spans="2:10">
      <c r="B15" s="150"/>
      <c r="C15" s="173" t="s">
        <v>232</v>
      </c>
      <c r="D15" s="109"/>
      <c r="E15" s="109"/>
      <c r="F15" s="109"/>
      <c r="G15" s="109"/>
      <c r="H15" s="109"/>
      <c r="I15" s="449"/>
      <c r="J15" s="450"/>
    </row>
    <row r="16" spans="2:10">
      <c r="B16" s="151"/>
      <c r="C16" s="152"/>
      <c r="D16" s="116"/>
      <c r="E16" s="116"/>
      <c r="F16" s="116"/>
      <c r="G16" s="116"/>
      <c r="H16" s="116"/>
      <c r="I16" s="116"/>
      <c r="J16" s="118"/>
    </row>
    <row r="17" spans="2:10">
      <c r="B17" s="142"/>
      <c r="C17" s="85"/>
      <c r="D17" s="83"/>
      <c r="E17" s="83"/>
      <c r="F17" s="83"/>
      <c r="G17" s="83"/>
      <c r="H17" s="83"/>
      <c r="I17" s="83"/>
      <c r="J17" s="82"/>
    </row>
    <row r="18" spans="2:10">
      <c r="B18" s="119" t="s">
        <v>228</v>
      </c>
      <c r="C18" s="105"/>
      <c r="D18" s="105"/>
      <c r="E18" s="105"/>
      <c r="F18" s="105"/>
      <c r="G18" s="106"/>
      <c r="H18" s="83"/>
      <c r="I18" s="83"/>
      <c r="J18" s="83"/>
    </row>
    <row r="19" spans="2:10" ht="13.15" customHeight="1">
      <c r="B19" s="453" t="s">
        <v>279</v>
      </c>
      <c r="C19" s="490"/>
      <c r="D19" s="490"/>
      <c r="E19" s="490"/>
      <c r="F19" s="490"/>
      <c r="G19" s="491"/>
      <c r="H19" s="143"/>
      <c r="I19" s="143"/>
      <c r="J19" s="144"/>
    </row>
    <row r="20" spans="2:10" ht="13.15" customHeight="1">
      <c r="B20" s="492"/>
      <c r="C20" s="490"/>
      <c r="D20" s="490"/>
      <c r="E20" s="490"/>
      <c r="F20" s="490"/>
      <c r="G20" s="491"/>
      <c r="H20" s="143"/>
      <c r="I20" s="143"/>
      <c r="J20" s="144"/>
    </row>
    <row r="21" spans="2:10" ht="13.15" customHeight="1">
      <c r="B21" s="492"/>
      <c r="C21" s="490"/>
      <c r="D21" s="490"/>
      <c r="E21" s="490"/>
      <c r="F21" s="490"/>
      <c r="G21" s="491"/>
      <c r="H21" s="143"/>
      <c r="I21" s="143"/>
      <c r="J21" s="144"/>
    </row>
    <row r="22" spans="2:10" ht="13.15" customHeight="1">
      <c r="B22" s="492"/>
      <c r="C22" s="490"/>
      <c r="D22" s="490"/>
      <c r="E22" s="490"/>
      <c r="F22" s="490"/>
      <c r="G22" s="491"/>
      <c r="H22" s="145"/>
      <c r="I22" s="145"/>
      <c r="J22" s="145"/>
    </row>
    <row r="23" spans="2:10" ht="13.15" customHeight="1">
      <c r="B23" s="492"/>
      <c r="C23" s="490"/>
      <c r="D23" s="490"/>
      <c r="E23" s="490"/>
      <c r="F23" s="490"/>
      <c r="G23" s="491"/>
      <c r="H23" s="145"/>
      <c r="I23" s="145"/>
      <c r="J23" s="145"/>
    </row>
    <row r="24" spans="2:10" ht="13.15" customHeight="1">
      <c r="B24" s="492"/>
      <c r="C24" s="490"/>
      <c r="D24" s="490"/>
      <c r="E24" s="490"/>
      <c r="F24" s="490"/>
      <c r="G24" s="491"/>
      <c r="H24" s="145"/>
      <c r="I24" s="145"/>
      <c r="J24" s="145"/>
    </row>
    <row r="25" spans="2:10">
      <c r="B25" s="493"/>
      <c r="C25" s="494"/>
      <c r="D25" s="494"/>
      <c r="E25" s="494"/>
      <c r="F25" s="494"/>
      <c r="G25" s="495"/>
      <c r="H25" s="83"/>
      <c r="I25" s="83"/>
      <c r="J25" s="83"/>
    </row>
    <row r="26" spans="2:10">
      <c r="B26" s="146"/>
      <c r="C26" s="83"/>
      <c r="D26" s="83"/>
      <c r="E26" s="83"/>
      <c r="F26" s="83"/>
      <c r="G26" s="83"/>
      <c r="H26" s="83"/>
      <c r="I26" s="83"/>
      <c r="J26" s="83"/>
    </row>
    <row r="27" spans="2:10">
      <c r="B27" s="119" t="s">
        <v>159</v>
      </c>
      <c r="C27" s="105"/>
      <c r="D27" s="105"/>
      <c r="E27" s="105"/>
      <c r="F27" s="105"/>
      <c r="G27" s="105"/>
      <c r="H27" s="105"/>
      <c r="I27" s="105"/>
      <c r="J27" s="106"/>
    </row>
    <row r="28" spans="2:10">
      <c r="B28" s="428" t="s">
        <v>294</v>
      </c>
      <c r="C28" s="496"/>
      <c r="D28" s="496"/>
      <c r="E28" s="496"/>
      <c r="F28" s="496"/>
      <c r="G28" s="496"/>
      <c r="H28" s="496"/>
      <c r="I28" s="496"/>
      <c r="J28" s="497"/>
    </row>
    <row r="29" spans="2:10">
      <c r="B29" s="498"/>
      <c r="C29" s="496"/>
      <c r="D29" s="496"/>
      <c r="E29" s="496"/>
      <c r="F29" s="496"/>
      <c r="G29" s="496"/>
      <c r="H29" s="496"/>
      <c r="I29" s="496"/>
      <c r="J29" s="497"/>
    </row>
    <row r="30" spans="2:10">
      <c r="B30" s="499"/>
      <c r="C30" s="500"/>
      <c r="D30" s="500"/>
      <c r="E30" s="500"/>
      <c r="F30" s="500"/>
      <c r="G30" s="500"/>
      <c r="H30" s="500"/>
      <c r="I30" s="500"/>
      <c r="J30" s="501"/>
    </row>
    <row r="31" spans="2:10">
      <c r="B31" s="140"/>
      <c r="C31" s="140"/>
      <c r="D31" s="140"/>
      <c r="E31" s="140"/>
      <c r="F31" s="140"/>
      <c r="G31" s="140"/>
      <c r="H31" s="140"/>
      <c r="I31" s="140"/>
      <c r="J31" s="140"/>
    </row>
    <row r="32" spans="2:10">
      <c r="B32" s="119" t="s">
        <v>239</v>
      </c>
      <c r="C32" s="153"/>
      <c r="D32" s="153"/>
      <c r="E32" s="153"/>
      <c r="F32" s="153"/>
      <c r="G32" s="153"/>
      <c r="H32" s="153"/>
      <c r="I32" s="153"/>
      <c r="J32" s="154"/>
    </row>
    <row r="33" spans="2:10">
      <c r="B33" s="453" t="s">
        <v>298</v>
      </c>
      <c r="C33" s="484"/>
      <c r="D33" s="484"/>
      <c r="E33" s="484"/>
      <c r="F33" s="484"/>
      <c r="G33" s="484"/>
      <c r="H33" s="484"/>
      <c r="I33" s="484"/>
      <c r="J33" s="485"/>
    </row>
    <row r="34" spans="2:10">
      <c r="B34" s="486"/>
      <c r="C34" s="484"/>
      <c r="D34" s="484"/>
      <c r="E34" s="484"/>
      <c r="F34" s="484"/>
      <c r="G34" s="484"/>
      <c r="H34" s="484"/>
      <c r="I34" s="484"/>
      <c r="J34" s="485"/>
    </row>
    <row r="35" spans="2:10">
      <c r="B35" s="486"/>
      <c r="C35" s="484"/>
      <c r="D35" s="484"/>
      <c r="E35" s="484"/>
      <c r="F35" s="484"/>
      <c r="G35" s="484"/>
      <c r="H35" s="484"/>
      <c r="I35" s="484"/>
      <c r="J35" s="485"/>
    </row>
    <row r="36" spans="2:10">
      <c r="B36" s="486"/>
      <c r="C36" s="484"/>
      <c r="D36" s="484"/>
      <c r="E36" s="484"/>
      <c r="F36" s="484"/>
      <c r="G36" s="484"/>
      <c r="H36" s="484"/>
      <c r="I36" s="484"/>
      <c r="J36" s="485"/>
    </row>
    <row r="37" spans="2:10" ht="13.15" customHeight="1">
      <c r="B37" s="486"/>
      <c r="C37" s="484"/>
      <c r="D37" s="484"/>
      <c r="E37" s="484"/>
      <c r="F37" s="484"/>
      <c r="G37" s="484"/>
      <c r="H37" s="484"/>
      <c r="I37" s="484"/>
      <c r="J37" s="485"/>
    </row>
    <row r="38" spans="2:10" ht="13.15" customHeight="1">
      <c r="B38" s="487"/>
      <c r="C38" s="488"/>
      <c r="D38" s="488"/>
      <c r="E38" s="488"/>
      <c r="F38" s="488"/>
      <c r="G38" s="488"/>
      <c r="H38" s="488"/>
      <c r="I38" s="488"/>
      <c r="J38" s="489"/>
    </row>
    <row r="39" spans="2:10" ht="13.15" customHeight="1">
      <c r="B39" s="147"/>
      <c r="C39" s="147"/>
      <c r="D39" s="147"/>
      <c r="E39" s="147"/>
      <c r="F39" s="147"/>
      <c r="G39" s="147"/>
      <c r="H39" s="147"/>
      <c r="I39" s="147"/>
      <c r="J39" s="147"/>
    </row>
    <row r="40" spans="2:10">
      <c r="B40" s="119" t="s">
        <v>295</v>
      </c>
      <c r="C40" s="105"/>
      <c r="D40" s="105"/>
      <c r="E40" s="105"/>
      <c r="F40" s="105"/>
      <c r="G40" s="105"/>
      <c r="H40" s="105"/>
      <c r="I40" s="105"/>
      <c r="J40" s="106"/>
    </row>
    <row r="41" spans="2:10">
      <c r="B41" s="107" t="s">
        <v>293</v>
      </c>
      <c r="C41" s="109"/>
      <c r="D41" s="109"/>
      <c r="E41" s="109"/>
      <c r="F41" s="109"/>
      <c r="G41" s="109"/>
      <c r="H41" s="109"/>
      <c r="I41" s="109"/>
      <c r="J41" s="110"/>
    </row>
    <row r="42" spans="2:10">
      <c r="B42" s="107" t="s">
        <v>292</v>
      </c>
      <c r="C42" s="109"/>
      <c r="D42" s="109"/>
      <c r="E42" s="109"/>
      <c r="F42" s="109"/>
      <c r="G42" s="109"/>
      <c r="H42" s="109" t="s">
        <v>287</v>
      </c>
      <c r="I42" s="109"/>
      <c r="J42" s="110"/>
    </row>
    <row r="43" spans="2:10">
      <c r="B43" s="155" t="s">
        <v>289</v>
      </c>
      <c r="C43" s="109"/>
      <c r="D43" s="109"/>
      <c r="E43" s="109"/>
      <c r="F43" s="109"/>
      <c r="G43" s="109"/>
      <c r="H43" s="109" t="s">
        <v>287</v>
      </c>
      <c r="I43" s="109"/>
      <c r="J43" s="110"/>
    </row>
    <row r="44" spans="2:10">
      <c r="B44" s="156" t="s">
        <v>290</v>
      </c>
      <c r="C44" s="109"/>
      <c r="D44" s="109"/>
      <c r="E44" s="109"/>
      <c r="F44" s="109"/>
      <c r="G44" s="109"/>
      <c r="H44" s="109" t="s">
        <v>288</v>
      </c>
      <c r="I44" s="109"/>
      <c r="J44" s="110"/>
    </row>
    <row r="45" spans="2:10">
      <c r="B45" s="107" t="s">
        <v>291</v>
      </c>
      <c r="C45" s="109"/>
      <c r="D45" s="109"/>
      <c r="E45" s="109"/>
      <c r="F45" s="109"/>
      <c r="G45" s="109"/>
      <c r="H45" s="109" t="s">
        <v>288</v>
      </c>
      <c r="I45" s="109"/>
      <c r="J45" s="110"/>
    </row>
    <row r="46" spans="2:10">
      <c r="B46" s="157"/>
      <c r="C46" s="116"/>
      <c r="D46" s="116"/>
      <c r="E46" s="116"/>
      <c r="F46" s="116"/>
      <c r="G46" s="116"/>
      <c r="H46" s="116"/>
      <c r="I46" s="116"/>
      <c r="J46" s="118"/>
    </row>
  </sheetData>
  <sheetProtection password="FD2D" sheet="1" objects="1"/>
  <mergeCells count="8">
    <mergeCell ref="B33:J38"/>
    <mergeCell ref="B6:J9"/>
    <mergeCell ref="B19:G25"/>
    <mergeCell ref="B1:J1"/>
    <mergeCell ref="B28:J30"/>
    <mergeCell ref="I14:J15"/>
    <mergeCell ref="B10:J11"/>
    <mergeCell ref="B4:J5"/>
  </mergeCells>
  <phoneticPr fontId="10" type="noConversion"/>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6" r:id="rId4" name="Button 4">
              <controlPr defaultSize="0" print="0" autoFill="0" autoPict="0" macro="[0]!zoom3">
                <anchor moveWithCells="1" sizeWithCells="1">
                  <from>
                    <xdr:col>7</xdr:col>
                    <xdr:colOff>457200</xdr:colOff>
                    <xdr:row>19</xdr:row>
                    <xdr:rowOff>85725</xdr:rowOff>
                  </from>
                  <to>
                    <xdr:col>8</xdr:col>
                    <xdr:colOff>152400</xdr:colOff>
                    <xdr:row>20</xdr:row>
                    <xdr:rowOff>104775</xdr:rowOff>
                  </to>
                </anchor>
              </controlPr>
            </control>
          </mc:Choice>
        </mc:AlternateContent>
        <mc:AlternateContent xmlns:mc="http://schemas.openxmlformats.org/markup-compatibility/2006">
          <mc:Choice Requires="x14">
            <control shapeId="3079" r:id="rId5" name="Button 7">
              <controlPr defaultSize="0" print="0" autoFill="0" autoPict="0" macro="[0]!_xludf.zoom">
                <anchor moveWithCells="1" sizeWithCells="1">
                  <from>
                    <xdr:col>9</xdr:col>
                    <xdr:colOff>104775</xdr:colOff>
                    <xdr:row>19</xdr:row>
                    <xdr:rowOff>85725</xdr:rowOff>
                  </from>
                  <to>
                    <xdr:col>9</xdr:col>
                    <xdr:colOff>638175</xdr:colOff>
                    <xdr:row>20</xdr:row>
                    <xdr:rowOff>104775</xdr:rowOff>
                  </to>
                </anchor>
              </controlPr>
            </control>
          </mc:Choice>
        </mc:AlternateContent>
        <mc:AlternateContent xmlns:mc="http://schemas.openxmlformats.org/markup-compatibility/2006">
          <mc:Choice Requires="x14">
            <control shapeId="3080" r:id="rId6" name="Button 8">
              <controlPr defaultSize="0" print="0" autoFill="0" autoPict="0" macro="[0]!zoom2">
                <anchor moveWithCells="1" sizeWithCells="1">
                  <from>
                    <xdr:col>8</xdr:col>
                    <xdr:colOff>276225</xdr:colOff>
                    <xdr:row>19</xdr:row>
                    <xdr:rowOff>85725</xdr:rowOff>
                  </from>
                  <to>
                    <xdr:col>8</xdr:col>
                    <xdr:colOff>809625</xdr:colOff>
                    <xdr:row>20</xdr:row>
                    <xdr:rowOff>104775</xdr:rowOff>
                  </to>
                </anchor>
              </controlPr>
            </control>
          </mc:Choice>
        </mc:AlternateContent>
        <mc:AlternateContent xmlns:mc="http://schemas.openxmlformats.org/markup-compatibility/2006">
          <mc:Choice Requires="x14">
            <control shapeId="3084" r:id="rId7" name="Button 12">
              <controlPr defaultSize="0" print="0" autoFill="0" autoPict="0" macro="[0]!savetemplate">
                <anchor moveWithCells="1" sizeWithCells="1">
                  <from>
                    <xdr:col>9</xdr:col>
                    <xdr:colOff>104775</xdr:colOff>
                    <xdr:row>21</xdr:row>
                    <xdr:rowOff>66675</xdr:rowOff>
                  </from>
                  <to>
                    <xdr:col>9</xdr:col>
                    <xdr:colOff>638175</xdr:colOff>
                    <xdr:row>22</xdr:row>
                    <xdr:rowOff>95250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B1:M75"/>
  <sheetViews>
    <sheetView showGridLines="0" showRowColHeaders="0" zoomScale="85" workbookViewId="0"/>
  </sheetViews>
  <sheetFormatPr defaultColWidth="8.85546875" defaultRowHeight="12.75"/>
  <cols>
    <col min="1" max="1" width="6.7109375" style="86" customWidth="1"/>
    <col min="2" max="10" width="12.5703125" style="86" customWidth="1"/>
    <col min="11" max="16384" width="8.85546875" style="86"/>
  </cols>
  <sheetData>
    <row r="1" spans="2:10" ht="27">
      <c r="B1" s="445" t="s">
        <v>188</v>
      </c>
      <c r="C1" s="445"/>
      <c r="D1" s="445"/>
      <c r="E1" s="445"/>
      <c r="F1" s="445"/>
      <c r="G1" s="445"/>
      <c r="H1" s="445"/>
      <c r="I1" s="445"/>
      <c r="J1" s="445"/>
    </row>
    <row r="2" spans="2:10" ht="16.149999999999999" customHeight="1">
      <c r="B2" s="510" t="s">
        <v>186</v>
      </c>
      <c r="C2" s="510"/>
      <c r="D2" s="510"/>
      <c r="E2" s="510"/>
      <c r="F2" s="510"/>
      <c r="G2" s="510"/>
      <c r="H2" s="510"/>
      <c r="I2" s="510"/>
      <c r="J2" s="510"/>
    </row>
    <row r="3" spans="2:10" ht="16.149999999999999" customHeight="1">
      <c r="B3" s="103" t="s">
        <v>187</v>
      </c>
      <c r="C3" s="104"/>
      <c r="D3" s="104"/>
      <c r="E3" s="104"/>
      <c r="F3" s="105"/>
      <c r="G3" s="105"/>
      <c r="H3" s="105"/>
      <c r="I3" s="105"/>
      <c r="J3" s="106"/>
    </row>
    <row r="4" spans="2:10" ht="16.149999999999999" customHeight="1">
      <c r="B4" s="107" t="s">
        <v>241</v>
      </c>
      <c r="C4" s="108"/>
      <c r="D4" s="108"/>
      <c r="E4" s="108"/>
      <c r="F4" s="109"/>
      <c r="G4" s="109"/>
      <c r="H4" s="109"/>
      <c r="I4" s="109"/>
      <c r="J4" s="110"/>
    </row>
    <row r="5" spans="2:10">
      <c r="B5" s="428" t="s">
        <v>329</v>
      </c>
      <c r="C5" s="449"/>
      <c r="D5" s="449"/>
      <c r="E5" s="449"/>
      <c r="F5" s="449"/>
      <c r="G5" s="452"/>
      <c r="H5" s="111"/>
      <c r="I5" s="109"/>
      <c r="J5" s="110"/>
    </row>
    <row r="6" spans="2:10">
      <c r="B6" s="451"/>
      <c r="C6" s="449"/>
      <c r="D6" s="449"/>
      <c r="E6" s="449"/>
      <c r="F6" s="449"/>
      <c r="G6" s="452"/>
      <c r="H6" s="112"/>
      <c r="I6" s="109"/>
      <c r="J6" s="110"/>
    </row>
    <row r="7" spans="2:10">
      <c r="B7" s="434"/>
      <c r="C7" s="452"/>
      <c r="D7" s="452"/>
      <c r="E7" s="452"/>
      <c r="F7" s="452"/>
      <c r="G7" s="452"/>
      <c r="H7" s="113"/>
      <c r="I7" s="109"/>
      <c r="J7" s="110"/>
    </row>
    <row r="8" spans="2:10">
      <c r="B8" s="107" t="s">
        <v>275</v>
      </c>
      <c r="C8" s="114"/>
      <c r="D8" s="114"/>
      <c r="E8" s="114"/>
      <c r="F8" s="109"/>
      <c r="G8" s="109"/>
      <c r="H8" s="109"/>
      <c r="I8" s="109"/>
      <c r="J8" s="110"/>
    </row>
    <row r="9" spans="2:10">
      <c r="B9" s="506" t="s">
        <v>269</v>
      </c>
      <c r="C9" s="507"/>
      <c r="D9" s="507"/>
      <c r="E9" s="507"/>
      <c r="F9" s="109"/>
      <c r="G9" s="109"/>
      <c r="H9" s="109"/>
      <c r="I9" s="109"/>
      <c r="J9" s="110"/>
    </row>
    <row r="10" spans="2:10">
      <c r="B10" s="508"/>
      <c r="C10" s="507"/>
      <c r="D10" s="507"/>
      <c r="E10" s="507"/>
      <c r="F10" s="330" t="s">
        <v>325</v>
      </c>
      <c r="G10" s="109"/>
      <c r="H10" s="109"/>
      <c r="I10" s="109"/>
      <c r="J10" s="110"/>
    </row>
    <row r="11" spans="2:10" ht="13.15" customHeight="1">
      <c r="B11" s="169"/>
      <c r="C11" s="170"/>
      <c r="D11" s="170"/>
      <c r="E11" s="170"/>
      <c r="F11" s="116"/>
      <c r="G11" s="116"/>
      <c r="H11" s="117"/>
      <c r="I11" s="116"/>
      <c r="J11" s="118"/>
    </row>
    <row r="12" spans="2:10">
      <c r="B12" s="84"/>
      <c r="C12" s="97"/>
      <c r="D12" s="97"/>
      <c r="E12" s="97"/>
    </row>
    <row r="13" spans="2:10" s="256" customFormat="1" ht="15">
      <c r="B13" s="251" t="s">
        <v>189</v>
      </c>
      <c r="C13" s="252" t="s">
        <v>237</v>
      </c>
      <c r="D13" s="253" t="s">
        <v>242</v>
      </c>
      <c r="E13" s="253"/>
      <c r="F13" s="253"/>
      <c r="G13" s="254"/>
      <c r="H13" s="253"/>
      <c r="I13" s="254"/>
      <c r="J13" s="255"/>
    </row>
    <row r="14" spans="2:10">
      <c r="B14" s="97"/>
      <c r="C14" s="97"/>
      <c r="D14" s="97"/>
      <c r="E14" s="97"/>
    </row>
    <row r="15" spans="2:10" ht="15.75">
      <c r="B15" s="119" t="s">
        <v>185</v>
      </c>
      <c r="C15" s="120"/>
      <c r="D15" s="120"/>
      <c r="E15" s="121"/>
      <c r="F15" s="120"/>
      <c r="G15" s="120"/>
      <c r="H15" s="171" t="s">
        <v>227</v>
      </c>
      <c r="I15" s="120"/>
      <c r="J15" s="122"/>
    </row>
    <row r="16" spans="2:10" ht="15.75">
      <c r="B16" s="107" t="s">
        <v>323</v>
      </c>
      <c r="C16" s="109"/>
      <c r="D16" s="109"/>
      <c r="E16" s="123">
        <v>35</v>
      </c>
      <c r="F16" s="109"/>
      <c r="G16" s="109"/>
      <c r="H16" s="331"/>
      <c r="I16" s="114"/>
      <c r="J16" s="125"/>
    </row>
    <row r="17" spans="2:10">
      <c r="B17" s="107" t="s">
        <v>324</v>
      </c>
      <c r="C17" s="109"/>
      <c r="D17" s="109"/>
      <c r="E17" s="126" t="s">
        <v>243</v>
      </c>
      <c r="F17" s="109"/>
      <c r="G17" s="109"/>
      <c r="H17" s="124"/>
      <c r="I17" s="114"/>
      <c r="J17" s="125"/>
    </row>
    <row r="18" spans="2:10">
      <c r="B18" s="107" t="s">
        <v>330</v>
      </c>
      <c r="C18" s="109"/>
      <c r="D18" s="109"/>
      <c r="E18" s="127" t="s">
        <v>337</v>
      </c>
      <c r="F18" s="109"/>
      <c r="G18" s="109"/>
      <c r="H18" s="124"/>
      <c r="I18" s="114"/>
      <c r="J18" s="125"/>
    </row>
    <row r="19" spans="2:10">
      <c r="B19" s="107"/>
      <c r="C19" s="109"/>
      <c r="D19" s="109"/>
      <c r="E19" s="127"/>
      <c r="F19" s="109"/>
      <c r="G19" s="109"/>
      <c r="H19" s="124"/>
      <c r="I19" s="114"/>
      <c r="J19" s="125"/>
    </row>
    <row r="20" spans="2:10">
      <c r="B20" s="130" t="s">
        <v>100</v>
      </c>
      <c r="C20" s="139"/>
      <c r="D20" s="139"/>
      <c r="E20" s="139"/>
      <c r="F20" s="139"/>
      <c r="G20" s="109"/>
      <c r="H20" s="124"/>
      <c r="I20" s="114"/>
      <c r="J20" s="125"/>
    </row>
    <row r="21" spans="2:10">
      <c r="B21" s="506" t="s">
        <v>327</v>
      </c>
      <c r="C21" s="507"/>
      <c r="D21" s="507"/>
      <c r="E21" s="507"/>
      <c r="F21" s="507"/>
      <c r="G21" s="109"/>
      <c r="H21" s="124"/>
      <c r="I21" s="114"/>
      <c r="J21" s="125"/>
    </row>
    <row r="22" spans="2:10" ht="13.15" customHeight="1">
      <c r="B22" s="508"/>
      <c r="C22" s="507"/>
      <c r="D22" s="507"/>
      <c r="E22" s="507"/>
      <c r="F22" s="507"/>
      <c r="G22" s="109"/>
      <c r="H22" s="124"/>
      <c r="I22" s="114"/>
      <c r="J22" s="125"/>
    </row>
    <row r="23" spans="2:10">
      <c r="B23" s="508"/>
      <c r="C23" s="507"/>
      <c r="D23" s="507"/>
      <c r="E23" s="507"/>
      <c r="F23" s="507"/>
      <c r="G23" s="109"/>
      <c r="H23" s="128"/>
      <c r="I23" s="128"/>
      <c r="J23" s="125"/>
    </row>
    <row r="24" spans="2:10">
      <c r="B24" s="508"/>
      <c r="C24" s="507"/>
      <c r="D24" s="507"/>
      <c r="E24" s="507"/>
      <c r="F24" s="507"/>
      <c r="G24" s="139"/>
      <c r="H24" s="109"/>
      <c r="I24" s="128"/>
      <c r="J24" s="129"/>
    </row>
    <row r="25" spans="2:10">
      <c r="B25" s="508"/>
      <c r="C25" s="507"/>
      <c r="D25" s="507"/>
      <c r="E25" s="507"/>
      <c r="F25" s="507"/>
      <c r="G25" s="138"/>
      <c r="H25" s="109"/>
      <c r="I25" s="128"/>
      <c r="J25" s="129"/>
    </row>
    <row r="26" spans="2:10">
      <c r="B26" s="506" t="s">
        <v>328</v>
      </c>
      <c r="C26" s="507"/>
      <c r="D26" s="507"/>
      <c r="E26" s="507"/>
      <c r="F26" s="507"/>
      <c r="G26" s="109"/>
      <c r="H26" s="109"/>
      <c r="I26" s="128"/>
      <c r="J26" s="129"/>
    </row>
    <row r="27" spans="2:10">
      <c r="B27" s="508"/>
      <c r="C27" s="507"/>
      <c r="D27" s="507"/>
      <c r="E27" s="507"/>
      <c r="F27" s="507"/>
      <c r="G27" s="109"/>
      <c r="H27" s="109"/>
      <c r="I27" s="128"/>
      <c r="J27" s="129"/>
    </row>
    <row r="28" spans="2:10">
      <c r="B28" s="508"/>
      <c r="C28" s="507"/>
      <c r="D28" s="507"/>
      <c r="E28" s="507"/>
      <c r="F28" s="507"/>
      <c r="G28" s="109"/>
      <c r="H28" s="109"/>
      <c r="I28" s="128"/>
      <c r="J28" s="129"/>
    </row>
    <row r="29" spans="2:10">
      <c r="B29" s="397"/>
      <c r="C29" s="521"/>
      <c r="D29" s="521"/>
      <c r="E29" s="521"/>
      <c r="F29" s="521"/>
      <c r="G29" s="116"/>
      <c r="H29" s="131"/>
      <c r="I29" s="131"/>
      <c r="J29" s="132"/>
    </row>
    <row r="30" spans="2:10" ht="19.899999999999999" customHeight="1">
      <c r="B30" s="175" t="s">
        <v>322</v>
      </c>
      <c r="H30" s="98"/>
      <c r="I30" s="98"/>
      <c r="J30" s="98"/>
    </row>
    <row r="31" spans="2:10">
      <c r="B31" s="119" t="s">
        <v>183</v>
      </c>
      <c r="C31" s="133"/>
      <c r="D31" s="133"/>
      <c r="E31" s="133"/>
      <c r="F31" s="133"/>
      <c r="G31" s="133"/>
      <c r="H31" s="133"/>
      <c r="I31" s="133"/>
      <c r="J31" s="134"/>
    </row>
    <row r="32" spans="2:10">
      <c r="B32" s="453" t="s">
        <v>10</v>
      </c>
      <c r="C32" s="457"/>
      <c r="D32" s="457"/>
      <c r="E32" s="457"/>
      <c r="F32" s="457"/>
      <c r="G32" s="457"/>
      <c r="H32" s="457"/>
      <c r="I32" s="457"/>
      <c r="J32" s="458"/>
    </row>
    <row r="33" spans="2:13">
      <c r="B33" s="459"/>
      <c r="C33" s="457"/>
      <c r="D33" s="457"/>
      <c r="E33" s="457"/>
      <c r="F33" s="457"/>
      <c r="G33" s="457"/>
      <c r="H33" s="457"/>
      <c r="I33" s="457"/>
      <c r="J33" s="458"/>
    </row>
    <row r="34" spans="2:13">
      <c r="B34" s="459"/>
      <c r="C34" s="457"/>
      <c r="D34" s="457"/>
      <c r="E34" s="457"/>
      <c r="F34" s="457"/>
      <c r="G34" s="457"/>
      <c r="H34" s="457"/>
      <c r="I34" s="457"/>
      <c r="J34" s="458"/>
    </row>
    <row r="35" spans="2:13" ht="13.15" customHeight="1">
      <c r="B35" s="459"/>
      <c r="C35" s="457"/>
      <c r="D35" s="457"/>
      <c r="E35" s="457"/>
      <c r="F35" s="457"/>
      <c r="G35" s="457"/>
      <c r="H35" s="457"/>
      <c r="I35" s="457"/>
      <c r="J35" s="458"/>
    </row>
    <row r="36" spans="2:13" ht="13.15" customHeight="1">
      <c r="B36" s="459"/>
      <c r="C36" s="457"/>
      <c r="D36" s="457"/>
      <c r="E36" s="457"/>
      <c r="F36" s="457"/>
      <c r="G36" s="457"/>
      <c r="H36" s="457"/>
      <c r="I36" s="457"/>
      <c r="J36" s="458"/>
    </row>
    <row r="37" spans="2:13">
      <c r="B37" s="459"/>
      <c r="C37" s="457"/>
      <c r="D37" s="457"/>
      <c r="E37" s="457"/>
      <c r="F37" s="457"/>
      <c r="G37" s="457"/>
      <c r="H37" s="457"/>
      <c r="I37" s="457"/>
      <c r="J37" s="458"/>
    </row>
    <row r="38" spans="2:13">
      <c r="B38" s="459"/>
      <c r="C38" s="457"/>
      <c r="D38" s="457"/>
      <c r="E38" s="457"/>
      <c r="F38" s="457"/>
      <c r="G38" s="457"/>
      <c r="H38" s="457"/>
      <c r="I38" s="457"/>
      <c r="J38" s="458"/>
    </row>
    <row r="39" spans="2:13">
      <c r="B39" s="459"/>
      <c r="C39" s="457"/>
      <c r="D39" s="457"/>
      <c r="E39" s="457"/>
      <c r="F39" s="457"/>
      <c r="G39" s="457"/>
      <c r="H39" s="457"/>
      <c r="I39" s="457"/>
      <c r="J39" s="458"/>
    </row>
    <row r="40" spans="2:13">
      <c r="B40" s="513"/>
      <c r="C40" s="514"/>
      <c r="D40" s="514"/>
      <c r="E40" s="514"/>
      <c r="F40" s="514"/>
      <c r="G40" s="514"/>
      <c r="H40" s="514"/>
      <c r="I40" s="514"/>
      <c r="J40" s="515"/>
      <c r="K40" s="99"/>
      <c r="L40" s="99"/>
      <c r="M40" s="99"/>
    </row>
    <row r="41" spans="2:13">
      <c r="B41" s="100"/>
      <c r="C41" s="100"/>
      <c r="D41" s="100"/>
      <c r="E41" s="100"/>
      <c r="F41" s="100"/>
      <c r="G41" s="100"/>
      <c r="H41" s="100"/>
      <c r="I41" s="100"/>
      <c r="J41" s="100"/>
      <c r="K41" s="99"/>
      <c r="L41" s="99"/>
      <c r="M41" s="99"/>
    </row>
    <row r="42" spans="2:13">
      <c r="B42" s="119" t="s">
        <v>184</v>
      </c>
      <c r="C42" s="105"/>
      <c r="D42" s="105"/>
      <c r="E42" s="105"/>
      <c r="F42" s="105"/>
      <c r="G42" s="105"/>
      <c r="H42" s="105"/>
      <c r="I42" s="105"/>
      <c r="J42" s="106"/>
      <c r="K42" s="99"/>
      <c r="L42" s="99"/>
      <c r="M42" s="99"/>
    </row>
    <row r="43" spans="2:13">
      <c r="B43" s="511" t="s">
        <v>182</v>
      </c>
      <c r="C43" s="512"/>
      <c r="D43" s="512"/>
      <c r="E43" s="512"/>
      <c r="F43" s="512"/>
      <c r="G43" s="512"/>
      <c r="H43" s="512"/>
      <c r="I43" s="512"/>
      <c r="J43" s="458"/>
      <c r="K43" s="99"/>
      <c r="L43" s="99"/>
      <c r="M43" s="99"/>
    </row>
    <row r="44" spans="2:13">
      <c r="B44" s="459"/>
      <c r="C44" s="512"/>
      <c r="D44" s="512"/>
      <c r="E44" s="512"/>
      <c r="F44" s="512"/>
      <c r="G44" s="512"/>
      <c r="H44" s="512"/>
      <c r="I44" s="512"/>
      <c r="J44" s="458"/>
      <c r="K44" s="99"/>
      <c r="L44" s="99"/>
      <c r="M44" s="99"/>
    </row>
    <row r="45" spans="2:13">
      <c r="B45" s="459"/>
      <c r="C45" s="512"/>
      <c r="D45" s="512"/>
      <c r="E45" s="512"/>
      <c r="F45" s="512"/>
      <c r="G45" s="512"/>
      <c r="H45" s="512"/>
      <c r="I45" s="512"/>
      <c r="J45" s="458"/>
      <c r="K45" s="99"/>
      <c r="L45" s="99"/>
      <c r="M45" s="99"/>
    </row>
    <row r="46" spans="2:13">
      <c r="B46" s="459"/>
      <c r="C46" s="512"/>
      <c r="D46" s="512"/>
      <c r="E46" s="512"/>
      <c r="F46" s="512"/>
      <c r="G46" s="512"/>
      <c r="H46" s="512"/>
      <c r="I46" s="512"/>
      <c r="J46" s="458"/>
      <c r="K46" s="99"/>
      <c r="L46" s="99"/>
      <c r="M46" s="99"/>
    </row>
    <row r="47" spans="2:13">
      <c r="B47" s="459"/>
      <c r="C47" s="512"/>
      <c r="D47" s="512"/>
      <c r="E47" s="512"/>
      <c r="F47" s="512"/>
      <c r="G47" s="512"/>
      <c r="H47" s="512"/>
      <c r="I47" s="512"/>
      <c r="J47" s="458"/>
    </row>
    <row r="48" spans="2:13">
      <c r="B48" s="459"/>
      <c r="C48" s="512"/>
      <c r="D48" s="512"/>
      <c r="E48" s="512"/>
      <c r="F48" s="512"/>
      <c r="G48" s="512"/>
      <c r="H48" s="512"/>
      <c r="I48" s="512"/>
      <c r="J48" s="458"/>
    </row>
    <row r="49" spans="2:10">
      <c r="B49" s="513"/>
      <c r="C49" s="514"/>
      <c r="D49" s="514"/>
      <c r="E49" s="514"/>
      <c r="F49" s="514"/>
      <c r="G49" s="514"/>
      <c r="H49" s="514"/>
      <c r="I49" s="514"/>
      <c r="J49" s="515"/>
    </row>
    <row r="50" spans="2:10">
      <c r="B50" s="176"/>
      <c r="C50" s="176"/>
      <c r="D50" s="176"/>
      <c r="E50" s="176"/>
      <c r="F50" s="176"/>
      <c r="G50" s="176"/>
      <c r="H50" s="176"/>
      <c r="I50" s="176"/>
      <c r="J50" s="176"/>
    </row>
    <row r="51" spans="2:10">
      <c r="B51" s="177" t="s">
        <v>332</v>
      </c>
      <c r="C51" s="178"/>
      <c r="D51" s="179"/>
      <c r="E51" s="179"/>
      <c r="F51" s="179"/>
      <c r="G51" s="179"/>
      <c r="H51" s="179"/>
      <c r="I51" s="180"/>
      <c r="J51" s="182"/>
    </row>
    <row r="52" spans="2:10">
      <c r="B52" s="181" t="s">
        <v>333</v>
      </c>
      <c r="C52" s="181" t="s">
        <v>187</v>
      </c>
      <c r="D52" s="528" t="s">
        <v>334</v>
      </c>
      <c r="E52" s="529"/>
      <c r="F52" s="529"/>
      <c r="G52" s="529"/>
      <c r="H52" s="529"/>
      <c r="I52" s="529"/>
      <c r="J52" s="530"/>
    </row>
    <row r="53" spans="2:10" ht="14.25">
      <c r="B53" s="187">
        <v>36673</v>
      </c>
      <c r="C53" s="188" t="s">
        <v>335</v>
      </c>
      <c r="D53" s="525" t="s">
        <v>336</v>
      </c>
      <c r="E53" s="526"/>
      <c r="F53" s="526"/>
      <c r="G53" s="526"/>
      <c r="H53" s="526"/>
      <c r="I53" s="526"/>
      <c r="J53" s="527"/>
    </row>
    <row r="54" spans="2:10" ht="14.25">
      <c r="B54" s="187">
        <v>36848</v>
      </c>
      <c r="C54" s="188" t="s">
        <v>339</v>
      </c>
      <c r="D54" s="525" t="s">
        <v>338</v>
      </c>
      <c r="E54" s="526"/>
      <c r="F54" s="526"/>
      <c r="G54" s="526"/>
      <c r="H54" s="526"/>
      <c r="I54" s="526"/>
      <c r="J54" s="527"/>
    </row>
    <row r="55" spans="2:10" ht="14.25">
      <c r="B55" s="187">
        <v>36861</v>
      </c>
      <c r="C55" s="189">
        <v>3.01</v>
      </c>
      <c r="D55" s="522" t="s">
        <v>352</v>
      </c>
      <c r="E55" s="523"/>
      <c r="F55" s="523"/>
      <c r="G55" s="523"/>
      <c r="H55" s="523"/>
      <c r="I55" s="523"/>
      <c r="J55" s="524"/>
    </row>
    <row r="56" spans="2:10" ht="14.25">
      <c r="B56" s="187">
        <v>36898</v>
      </c>
      <c r="C56" s="188" t="s">
        <v>9</v>
      </c>
      <c r="D56" s="522" t="s">
        <v>11</v>
      </c>
      <c r="E56" s="523"/>
      <c r="F56" s="523"/>
      <c r="G56" s="523"/>
      <c r="H56" s="523"/>
      <c r="I56" s="523"/>
      <c r="J56" s="524"/>
    </row>
    <row r="57" spans="2:10" ht="14.25">
      <c r="B57" s="187">
        <v>36939</v>
      </c>
      <c r="C57" s="189">
        <v>3.11</v>
      </c>
      <c r="D57" s="525" t="s">
        <v>50</v>
      </c>
      <c r="E57" s="526"/>
      <c r="F57" s="526"/>
      <c r="G57" s="526"/>
      <c r="H57" s="526"/>
      <c r="I57" s="526"/>
      <c r="J57" s="527"/>
    </row>
    <row r="58" spans="2:10" ht="61.15" customHeight="1">
      <c r="B58" s="187">
        <v>37180</v>
      </c>
      <c r="C58" s="188" t="s">
        <v>51</v>
      </c>
      <c r="D58" s="518" t="s">
        <v>0</v>
      </c>
      <c r="E58" s="519"/>
      <c r="F58" s="519"/>
      <c r="G58" s="519"/>
      <c r="H58" s="519"/>
      <c r="I58" s="519"/>
      <c r="J58" s="520"/>
    </row>
    <row r="59" spans="2:10" ht="15" customHeight="1">
      <c r="B59" s="187">
        <v>37471</v>
      </c>
      <c r="C59" s="188" t="s">
        <v>207</v>
      </c>
      <c r="D59" s="516" t="s">
        <v>208</v>
      </c>
      <c r="E59" s="517"/>
      <c r="F59" s="517"/>
      <c r="G59" s="517"/>
      <c r="H59" s="517"/>
      <c r="I59" s="517"/>
      <c r="J59" s="517"/>
    </row>
    <row r="60" spans="2:10">
      <c r="B60" s="176"/>
      <c r="C60" s="176"/>
      <c r="D60" s="176"/>
      <c r="E60" s="176"/>
      <c r="F60" s="176"/>
      <c r="G60" s="176"/>
      <c r="H60" s="176"/>
      <c r="I60" s="176"/>
      <c r="J60" s="176"/>
    </row>
    <row r="61" spans="2:10">
      <c r="B61" s="119" t="s">
        <v>197</v>
      </c>
      <c r="C61" s="105"/>
      <c r="D61" s="105"/>
      <c r="E61" s="105"/>
      <c r="F61" s="105"/>
      <c r="G61" s="105"/>
      <c r="H61" s="105"/>
      <c r="I61" s="105"/>
      <c r="J61" s="106"/>
    </row>
    <row r="62" spans="2:10">
      <c r="B62" s="130" t="s">
        <v>230</v>
      </c>
      <c r="C62" s="128"/>
      <c r="D62" s="128"/>
      <c r="E62" s="128"/>
      <c r="F62" s="128"/>
      <c r="G62" s="128"/>
      <c r="H62" s="128"/>
      <c r="I62" s="128"/>
      <c r="J62" s="129"/>
    </row>
    <row r="63" spans="2:10">
      <c r="B63" s="130" t="s">
        <v>231</v>
      </c>
      <c r="C63" s="128"/>
      <c r="D63" s="128"/>
      <c r="E63" s="128"/>
      <c r="F63" s="128"/>
      <c r="G63" s="128"/>
      <c r="H63" s="128"/>
      <c r="I63" s="128"/>
      <c r="J63" s="129"/>
    </row>
    <row r="64" spans="2:10">
      <c r="B64" s="130" t="s">
        <v>7</v>
      </c>
      <c r="C64" s="128"/>
      <c r="D64" s="128"/>
      <c r="E64" s="128"/>
      <c r="F64" s="128"/>
      <c r="G64" s="128"/>
      <c r="H64" s="128"/>
      <c r="I64" s="128"/>
      <c r="J64" s="129"/>
    </row>
    <row r="65" spans="2:10">
      <c r="B65" s="115" t="s">
        <v>8</v>
      </c>
      <c r="C65" s="131"/>
      <c r="D65" s="131"/>
      <c r="E65" s="131"/>
      <c r="F65" s="131"/>
      <c r="G65" s="131"/>
      <c r="H65" s="131"/>
      <c r="I65" s="131"/>
      <c r="J65" s="132"/>
    </row>
    <row r="66" spans="2:10">
      <c r="B66" s="98"/>
      <c r="C66" s="98"/>
      <c r="D66" s="98"/>
      <c r="E66" s="98"/>
      <c r="F66" s="98"/>
      <c r="G66" s="98"/>
      <c r="H66" s="98"/>
      <c r="I66" s="98"/>
      <c r="J66" s="98"/>
    </row>
    <row r="67" spans="2:10">
      <c r="B67" s="135" t="s">
        <v>218</v>
      </c>
      <c r="C67" s="136"/>
      <c r="D67" s="136"/>
      <c r="E67" s="136"/>
      <c r="F67" s="136"/>
      <c r="G67" s="136"/>
      <c r="H67" s="136"/>
      <c r="I67" s="136"/>
      <c r="J67" s="137"/>
    </row>
    <row r="68" spans="2:10">
      <c r="B68" s="453" t="s">
        <v>272</v>
      </c>
      <c r="C68" s="509"/>
      <c r="D68" s="509"/>
      <c r="E68" s="509"/>
      <c r="F68" s="509"/>
      <c r="G68" s="509"/>
      <c r="H68" s="509"/>
      <c r="I68" s="509"/>
      <c r="J68" s="491"/>
    </row>
    <row r="69" spans="2:10">
      <c r="B69" s="492"/>
      <c r="C69" s="509"/>
      <c r="D69" s="509"/>
      <c r="E69" s="509"/>
      <c r="F69" s="509"/>
      <c r="G69" s="509"/>
      <c r="H69" s="509"/>
      <c r="I69" s="509"/>
      <c r="J69" s="491"/>
    </row>
    <row r="70" spans="2:10">
      <c r="B70" s="492"/>
      <c r="C70" s="509"/>
      <c r="D70" s="509"/>
      <c r="E70" s="509"/>
      <c r="F70" s="509"/>
      <c r="G70" s="509"/>
      <c r="H70" s="509"/>
      <c r="I70" s="509"/>
      <c r="J70" s="491"/>
    </row>
    <row r="71" spans="2:10">
      <c r="B71" s="493"/>
      <c r="C71" s="494"/>
      <c r="D71" s="494"/>
      <c r="E71" s="494"/>
      <c r="F71" s="494"/>
      <c r="G71" s="494"/>
      <c r="H71" s="494"/>
      <c r="I71" s="494"/>
      <c r="J71" s="495"/>
    </row>
    <row r="72" spans="2:10">
      <c r="B72" s="101"/>
    </row>
    <row r="73" spans="2:10">
      <c r="B73" s="102"/>
      <c r="C73" s="102"/>
      <c r="D73" s="102"/>
      <c r="E73" s="102"/>
      <c r="F73" s="102"/>
      <c r="G73" s="102"/>
      <c r="H73" s="102"/>
      <c r="I73" s="102"/>
      <c r="J73" s="102"/>
    </row>
    <row r="74" spans="2:10">
      <c r="B74" s="102"/>
      <c r="C74" s="102"/>
      <c r="D74" s="102"/>
      <c r="E74" s="102"/>
      <c r="F74" s="102"/>
      <c r="G74" s="102"/>
      <c r="H74" s="102"/>
      <c r="I74" s="102"/>
      <c r="J74" s="102"/>
    </row>
    <row r="75" spans="2:10">
      <c r="B75" s="102"/>
      <c r="C75" s="102"/>
      <c r="D75" s="102"/>
      <c r="E75" s="102"/>
      <c r="F75" s="102"/>
      <c r="G75" s="102"/>
      <c r="H75" s="102"/>
      <c r="I75" s="102"/>
      <c r="J75" s="102"/>
    </row>
  </sheetData>
  <sheetProtection password="FD2D" sheet="1" objects="1"/>
  <mergeCells count="17">
    <mergeCell ref="B26:F29"/>
    <mergeCell ref="D56:J56"/>
    <mergeCell ref="D57:J57"/>
    <mergeCell ref="D52:J52"/>
    <mergeCell ref="D53:J53"/>
    <mergeCell ref="D54:J54"/>
    <mergeCell ref="D55:J55"/>
    <mergeCell ref="B9:E10"/>
    <mergeCell ref="B68:J71"/>
    <mergeCell ref="B1:J1"/>
    <mergeCell ref="B2:J2"/>
    <mergeCell ref="B43:J49"/>
    <mergeCell ref="B32:J40"/>
    <mergeCell ref="B5:G7"/>
    <mergeCell ref="D59:J59"/>
    <mergeCell ref="D58:J58"/>
    <mergeCell ref="B21:F25"/>
  </mergeCells>
  <phoneticPr fontId="10" type="noConversion"/>
  <hyperlinks>
    <hyperlink ref="F10" r:id="rId1" display="mailto:info@structural-engineering.fsnet.co.uk"/>
  </hyperlinks>
  <pageMargins left="0.75" right="0.75" top="1" bottom="1" header="0.5" footer="0.5"/>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2290" r:id="rId5" name="Button 2">
              <controlPr defaultSize="0" print="0" autoFill="0" autoPict="0" macro="[0]!Link">
                <anchor moveWithCells="1">
                  <from>
                    <xdr:col>7</xdr:col>
                    <xdr:colOff>114300</xdr:colOff>
                    <xdr:row>5</xdr:row>
                    <xdr:rowOff>142875</xdr:rowOff>
                  </from>
                  <to>
                    <xdr:col>7</xdr:col>
                    <xdr:colOff>685800</xdr:colOff>
                    <xdr:row>7</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L48"/>
  <sheetViews>
    <sheetView showRowColHeaders="0" zoomScale="85" workbookViewId="0"/>
  </sheetViews>
  <sheetFormatPr defaultColWidth="8.85546875" defaultRowHeight="12.75"/>
  <cols>
    <col min="1" max="16384" width="8.85546875" style="97"/>
  </cols>
  <sheetData>
    <row r="2" spans="2:12" ht="31.5">
      <c r="B2" s="226" t="s">
        <v>353</v>
      </c>
      <c r="C2" s="227"/>
      <c r="D2" s="227"/>
      <c r="E2" s="227"/>
      <c r="F2" s="227"/>
      <c r="G2" s="227"/>
      <c r="H2" s="227"/>
      <c r="I2" s="227"/>
      <c r="J2" s="227"/>
      <c r="K2" s="227"/>
      <c r="L2" s="228"/>
    </row>
    <row r="3" spans="2:12" ht="15.6" customHeight="1">
      <c r="B3" s="229"/>
      <c r="C3" s="230"/>
      <c r="D3" s="230"/>
      <c r="E3" s="230"/>
      <c r="F3" s="230"/>
      <c r="G3" s="230"/>
      <c r="H3" s="230"/>
      <c r="I3" s="230"/>
      <c r="J3" s="230"/>
      <c r="K3" s="230"/>
      <c r="L3" s="231"/>
    </row>
    <row r="4" spans="2:12" ht="15.75">
      <c r="B4" s="232" t="s">
        <v>354</v>
      </c>
      <c r="C4" s="233"/>
      <c r="D4" s="233"/>
      <c r="E4" s="233"/>
      <c r="F4" s="233"/>
      <c r="G4" s="233"/>
      <c r="H4" s="233"/>
      <c r="I4" s="233"/>
      <c r="J4" s="233"/>
      <c r="K4" s="233"/>
      <c r="L4" s="234"/>
    </row>
    <row r="5" spans="2:12">
      <c r="B5" s="428" t="s">
        <v>46</v>
      </c>
      <c r="C5" s="429"/>
      <c r="D5" s="429"/>
      <c r="E5" s="429"/>
      <c r="F5" s="429"/>
      <c r="G5" s="429"/>
      <c r="H5" s="429"/>
      <c r="I5" s="429"/>
      <c r="J5" s="429"/>
      <c r="K5" s="429"/>
      <c r="L5" s="430"/>
    </row>
    <row r="6" spans="2:12">
      <c r="B6" s="428"/>
      <c r="C6" s="429"/>
      <c r="D6" s="429"/>
      <c r="E6" s="429"/>
      <c r="F6" s="429"/>
      <c r="G6" s="429"/>
      <c r="H6" s="429"/>
      <c r="I6" s="429"/>
      <c r="J6" s="429"/>
      <c r="K6" s="429"/>
      <c r="L6" s="430"/>
    </row>
    <row r="7" spans="2:12">
      <c r="B7" s="428"/>
      <c r="C7" s="429"/>
      <c r="D7" s="429"/>
      <c r="E7" s="429"/>
      <c r="F7" s="429"/>
      <c r="G7" s="429"/>
      <c r="H7" s="429"/>
      <c r="I7" s="429"/>
      <c r="J7" s="429"/>
      <c r="K7" s="429"/>
      <c r="L7" s="430"/>
    </row>
    <row r="8" spans="2:12">
      <c r="B8" s="428"/>
      <c r="C8" s="429"/>
      <c r="D8" s="429"/>
      <c r="E8" s="429"/>
      <c r="F8" s="429"/>
      <c r="G8" s="429"/>
      <c r="H8" s="429"/>
      <c r="I8" s="429"/>
      <c r="J8" s="429"/>
      <c r="K8" s="429"/>
      <c r="L8" s="430"/>
    </row>
    <row r="9" spans="2:12">
      <c r="B9" s="428"/>
      <c r="C9" s="429"/>
      <c r="D9" s="429"/>
      <c r="E9" s="429"/>
      <c r="F9" s="429"/>
      <c r="G9" s="429"/>
      <c r="H9" s="429"/>
      <c r="I9" s="429"/>
      <c r="J9" s="429"/>
      <c r="K9" s="429"/>
      <c r="L9" s="430"/>
    </row>
    <row r="10" spans="2:12">
      <c r="B10" s="428"/>
      <c r="C10" s="429"/>
      <c r="D10" s="429"/>
      <c r="E10" s="429"/>
      <c r="F10" s="429"/>
      <c r="G10" s="429"/>
      <c r="H10" s="429"/>
      <c r="I10" s="429"/>
      <c r="J10" s="429"/>
      <c r="K10" s="429"/>
      <c r="L10" s="430"/>
    </row>
    <row r="11" spans="2:12" ht="15.75">
      <c r="B11" s="232" t="s">
        <v>355</v>
      </c>
      <c r="C11" s="225"/>
      <c r="D11" s="225"/>
      <c r="E11" s="225"/>
      <c r="F11" s="225"/>
      <c r="G11" s="225"/>
      <c r="H11" s="225"/>
      <c r="I11" s="225"/>
      <c r="J11" s="225"/>
      <c r="K11" s="225"/>
      <c r="L11" s="224"/>
    </row>
    <row r="12" spans="2:12">
      <c r="B12" s="428" t="s">
        <v>326</v>
      </c>
      <c r="C12" s="535"/>
      <c r="D12" s="535"/>
      <c r="E12" s="535"/>
      <c r="F12" s="535"/>
      <c r="G12" s="535"/>
      <c r="H12" s="535"/>
      <c r="I12" s="535"/>
      <c r="J12" s="535"/>
      <c r="K12" s="535"/>
      <c r="L12" s="536"/>
    </row>
    <row r="13" spans="2:12">
      <c r="B13" s="537"/>
      <c r="C13" s="535"/>
      <c r="D13" s="535"/>
      <c r="E13" s="535"/>
      <c r="F13" s="535"/>
      <c r="G13" s="535"/>
      <c r="H13" s="535"/>
      <c r="I13" s="535"/>
      <c r="J13" s="535"/>
      <c r="K13" s="535"/>
      <c r="L13" s="536"/>
    </row>
    <row r="14" spans="2:12">
      <c r="B14" s="537"/>
      <c r="C14" s="535"/>
      <c r="D14" s="535"/>
      <c r="E14" s="535"/>
      <c r="F14" s="535"/>
      <c r="G14" s="535"/>
      <c r="H14" s="535"/>
      <c r="I14" s="535"/>
      <c r="J14" s="535"/>
      <c r="K14" s="535"/>
      <c r="L14" s="536"/>
    </row>
    <row r="15" spans="2:12">
      <c r="B15" s="537"/>
      <c r="C15" s="535"/>
      <c r="D15" s="535"/>
      <c r="E15" s="535"/>
      <c r="F15" s="535"/>
      <c r="G15" s="535"/>
      <c r="H15" s="535"/>
      <c r="I15" s="535"/>
      <c r="J15" s="535"/>
      <c r="K15" s="535"/>
      <c r="L15" s="536"/>
    </row>
    <row r="16" spans="2:12">
      <c r="B16" s="537"/>
      <c r="C16" s="535"/>
      <c r="D16" s="535"/>
      <c r="E16" s="535"/>
      <c r="F16" s="535"/>
      <c r="G16" s="535"/>
      <c r="H16" s="535"/>
      <c r="I16" s="535"/>
      <c r="J16" s="535"/>
      <c r="K16" s="535"/>
      <c r="L16" s="536"/>
    </row>
    <row r="17" spans="2:12">
      <c r="B17" s="537"/>
      <c r="C17" s="535"/>
      <c r="D17" s="535"/>
      <c r="E17" s="535"/>
      <c r="F17" s="535"/>
      <c r="G17" s="535"/>
      <c r="H17" s="535"/>
      <c r="I17" s="535"/>
      <c r="J17" s="535"/>
      <c r="K17" s="535"/>
      <c r="L17" s="536"/>
    </row>
    <row r="18" spans="2:12">
      <c r="B18" s="537"/>
      <c r="C18" s="535"/>
      <c r="D18" s="535"/>
      <c r="E18" s="535"/>
      <c r="F18" s="535"/>
      <c r="G18" s="535"/>
      <c r="H18" s="535"/>
      <c r="I18" s="535"/>
      <c r="J18" s="535"/>
      <c r="K18" s="535"/>
      <c r="L18" s="536"/>
    </row>
    <row r="19" spans="2:12" ht="15.75">
      <c r="B19" s="232" t="s">
        <v>356</v>
      </c>
      <c r="C19" s="114"/>
      <c r="D19" s="114"/>
      <c r="E19" s="114"/>
      <c r="F19" s="114"/>
      <c r="G19" s="114"/>
      <c r="H19" s="114"/>
      <c r="I19" s="114"/>
      <c r="J19" s="114"/>
      <c r="K19" s="114"/>
      <c r="L19" s="125"/>
    </row>
    <row r="20" spans="2:12">
      <c r="B20" s="428" t="s">
        <v>358</v>
      </c>
      <c r="C20" s="429"/>
      <c r="D20" s="429"/>
      <c r="E20" s="429"/>
      <c r="F20" s="429"/>
      <c r="G20" s="429"/>
      <c r="H20" s="429"/>
      <c r="I20" s="429"/>
      <c r="J20" s="429"/>
      <c r="K20" s="429"/>
      <c r="L20" s="430"/>
    </row>
    <row r="21" spans="2:12">
      <c r="B21" s="428"/>
      <c r="C21" s="429"/>
      <c r="D21" s="429"/>
      <c r="E21" s="429"/>
      <c r="F21" s="429"/>
      <c r="G21" s="429"/>
      <c r="H21" s="429"/>
      <c r="I21" s="429"/>
      <c r="J21" s="429"/>
      <c r="K21" s="429"/>
      <c r="L21" s="430"/>
    </row>
    <row r="22" spans="2:12">
      <c r="B22" s="428"/>
      <c r="C22" s="429"/>
      <c r="D22" s="429"/>
      <c r="E22" s="429"/>
      <c r="F22" s="429"/>
      <c r="G22" s="429"/>
      <c r="H22" s="429"/>
      <c r="I22" s="429"/>
      <c r="J22" s="429"/>
      <c r="K22" s="429"/>
      <c r="L22" s="430"/>
    </row>
    <row r="23" spans="2:12">
      <c r="B23" s="428"/>
      <c r="C23" s="429"/>
      <c r="D23" s="429"/>
      <c r="E23" s="429"/>
      <c r="F23" s="429"/>
      <c r="G23" s="429"/>
      <c r="H23" s="429"/>
      <c r="I23" s="429"/>
      <c r="J23" s="429"/>
      <c r="K23" s="429"/>
      <c r="L23" s="430"/>
    </row>
    <row r="24" spans="2:12">
      <c r="B24" s="428"/>
      <c r="C24" s="429"/>
      <c r="D24" s="429"/>
      <c r="E24" s="429"/>
      <c r="F24" s="429"/>
      <c r="G24" s="429"/>
      <c r="H24" s="429"/>
      <c r="I24" s="429"/>
      <c r="J24" s="429"/>
      <c r="K24" s="429"/>
      <c r="L24" s="430"/>
    </row>
    <row r="25" spans="2:12">
      <c r="B25" s="428"/>
      <c r="C25" s="429"/>
      <c r="D25" s="429"/>
      <c r="E25" s="429"/>
      <c r="F25" s="429"/>
      <c r="G25" s="429"/>
      <c r="H25" s="429"/>
      <c r="I25" s="429"/>
      <c r="J25" s="429"/>
      <c r="K25" s="429"/>
      <c r="L25" s="430"/>
    </row>
    <row r="26" spans="2:12" ht="15.75">
      <c r="B26" s="232" t="s">
        <v>359</v>
      </c>
      <c r="C26" s="114"/>
      <c r="D26" s="114"/>
      <c r="E26" s="114"/>
      <c r="F26" s="114"/>
      <c r="G26" s="114"/>
      <c r="H26" s="114"/>
      <c r="I26" s="114"/>
      <c r="J26" s="114"/>
      <c r="K26" s="114"/>
      <c r="L26" s="125"/>
    </row>
    <row r="27" spans="2:12">
      <c r="B27" s="451" t="s">
        <v>360</v>
      </c>
      <c r="C27" s="535"/>
      <c r="D27" s="535"/>
      <c r="E27" s="535"/>
      <c r="F27" s="535"/>
      <c r="G27" s="535"/>
      <c r="H27" s="535"/>
      <c r="I27" s="535"/>
      <c r="J27" s="535"/>
      <c r="K27" s="535"/>
      <c r="L27" s="536"/>
    </row>
    <row r="28" spans="2:12">
      <c r="B28" s="537"/>
      <c r="C28" s="535"/>
      <c r="D28" s="535"/>
      <c r="E28" s="535"/>
      <c r="F28" s="535"/>
      <c r="G28" s="535"/>
      <c r="H28" s="535"/>
      <c r="I28" s="535"/>
      <c r="J28" s="535"/>
      <c r="K28" s="535"/>
      <c r="L28" s="536"/>
    </row>
    <row r="29" spans="2:12">
      <c r="B29" s="537"/>
      <c r="C29" s="535"/>
      <c r="D29" s="535"/>
      <c r="E29" s="535"/>
      <c r="F29" s="535"/>
      <c r="G29" s="535"/>
      <c r="H29" s="535"/>
      <c r="I29" s="535"/>
      <c r="J29" s="535"/>
      <c r="K29" s="535"/>
      <c r="L29" s="536"/>
    </row>
    <row r="30" spans="2:12">
      <c r="B30" s="537"/>
      <c r="C30" s="535"/>
      <c r="D30" s="535"/>
      <c r="E30" s="535"/>
      <c r="F30" s="535"/>
      <c r="G30" s="535"/>
      <c r="H30" s="535"/>
      <c r="I30" s="535"/>
      <c r="J30" s="535"/>
      <c r="K30" s="535"/>
      <c r="L30" s="536"/>
    </row>
    <row r="31" spans="2:12">
      <c r="B31" s="537"/>
      <c r="C31" s="535"/>
      <c r="D31" s="535"/>
      <c r="E31" s="535"/>
      <c r="F31" s="535"/>
      <c r="G31" s="535"/>
      <c r="H31" s="535"/>
      <c r="I31" s="535"/>
      <c r="J31" s="535"/>
      <c r="K31" s="535"/>
      <c r="L31" s="536"/>
    </row>
    <row r="32" spans="2:12">
      <c r="B32" s="437"/>
      <c r="C32" s="435"/>
      <c r="D32" s="435"/>
      <c r="E32" s="435"/>
      <c r="F32" s="435"/>
      <c r="G32" s="435"/>
      <c r="H32" s="435"/>
      <c r="I32" s="435"/>
      <c r="J32" s="435"/>
      <c r="K32" s="435"/>
      <c r="L32" s="436"/>
    </row>
    <row r="33" spans="2:12">
      <c r="B33" s="235"/>
      <c r="C33" s="114"/>
      <c r="D33" s="114"/>
      <c r="E33" s="114"/>
      <c r="F33" s="114"/>
      <c r="G33" s="114"/>
      <c r="H33" s="114"/>
      <c r="I33" s="114"/>
      <c r="J33" s="114"/>
      <c r="K33" s="114"/>
      <c r="L33" s="125"/>
    </row>
    <row r="34" spans="2:12" ht="19.5">
      <c r="B34" s="236" t="s">
        <v>361</v>
      </c>
      <c r="C34" s="237"/>
      <c r="D34" s="237"/>
      <c r="E34" s="237"/>
      <c r="F34" s="237"/>
      <c r="G34" s="237"/>
      <c r="H34" s="237"/>
      <c r="I34" s="237"/>
      <c r="J34" s="237"/>
      <c r="K34" s="237"/>
      <c r="L34" s="238"/>
    </row>
    <row r="35" spans="2:12" ht="19.5">
      <c r="B35" s="236"/>
      <c r="C35" s="237"/>
      <c r="D35" s="237"/>
      <c r="E35" s="237"/>
      <c r="F35" s="237"/>
      <c r="G35" s="237"/>
      <c r="H35" s="237"/>
      <c r="I35" s="237"/>
      <c r="J35" s="237"/>
      <c r="K35" s="237"/>
      <c r="L35" s="238"/>
    </row>
    <row r="36" spans="2:12" ht="15">
      <c r="B36" s="239" t="s">
        <v>362</v>
      </c>
      <c r="C36" s="237"/>
      <c r="D36" s="237"/>
      <c r="E36" s="237"/>
      <c r="F36" s="237"/>
      <c r="G36" s="237"/>
      <c r="H36" s="237"/>
      <c r="I36" s="237"/>
      <c r="J36" s="237"/>
      <c r="K36" s="237"/>
      <c r="L36" s="238"/>
    </row>
    <row r="37" spans="2:12">
      <c r="B37" s="240" t="s">
        <v>363</v>
      </c>
      <c r="C37" s="237"/>
      <c r="D37" s="237"/>
      <c r="E37" s="237"/>
      <c r="F37" s="237"/>
      <c r="G37" s="237"/>
      <c r="H37" s="237"/>
      <c r="I37" s="237"/>
      <c r="J37" s="237"/>
      <c r="K37" s="237"/>
      <c r="L37" s="238"/>
    </row>
    <row r="38" spans="2:12">
      <c r="B38" s="240"/>
      <c r="C38" s="237"/>
      <c r="D38" s="237"/>
      <c r="E38" s="237"/>
      <c r="F38" s="237"/>
      <c r="G38" s="237"/>
      <c r="H38" s="237"/>
      <c r="I38" s="237"/>
      <c r="J38" s="237"/>
      <c r="K38" s="237"/>
      <c r="L38" s="238"/>
    </row>
    <row r="39" spans="2:12" ht="15">
      <c r="B39" s="239" t="s">
        <v>364</v>
      </c>
      <c r="C39" s="237"/>
      <c r="D39" s="237"/>
      <c r="E39" s="237"/>
      <c r="F39" s="237"/>
      <c r="G39" s="237"/>
      <c r="H39" s="237"/>
      <c r="I39" s="237"/>
      <c r="J39" s="237"/>
      <c r="K39" s="237"/>
      <c r="L39" s="238"/>
    </row>
    <row r="40" spans="2:12">
      <c r="B40" s="531" t="s">
        <v>365</v>
      </c>
      <c r="C40" s="532"/>
      <c r="D40" s="532"/>
      <c r="E40" s="532"/>
      <c r="F40" s="532"/>
      <c r="G40" s="532"/>
      <c r="H40" s="532"/>
      <c r="I40" s="532"/>
      <c r="J40" s="532"/>
      <c r="K40" s="532"/>
      <c r="L40" s="533"/>
    </row>
    <row r="41" spans="2:12">
      <c r="B41" s="534"/>
      <c r="C41" s="532"/>
      <c r="D41" s="532"/>
      <c r="E41" s="532"/>
      <c r="F41" s="532"/>
      <c r="G41" s="532"/>
      <c r="H41" s="532"/>
      <c r="I41" s="532"/>
      <c r="J41" s="532"/>
      <c r="K41" s="532"/>
      <c r="L41" s="533"/>
    </row>
    <row r="42" spans="2:12">
      <c r="B42" s="241"/>
      <c r="C42" s="242"/>
      <c r="D42" s="242"/>
      <c r="E42" s="242"/>
      <c r="F42" s="242"/>
      <c r="G42" s="242"/>
      <c r="H42" s="242"/>
      <c r="I42" s="242"/>
      <c r="J42" s="242"/>
      <c r="K42" s="242"/>
      <c r="L42" s="243"/>
    </row>
    <row r="43" spans="2:12" ht="15">
      <c r="B43" s="239" t="s">
        <v>366</v>
      </c>
      <c r="C43" s="237"/>
      <c r="D43" s="237"/>
      <c r="E43" s="237"/>
      <c r="F43" s="237"/>
      <c r="G43" s="237"/>
      <c r="H43" s="237"/>
      <c r="I43" s="237"/>
      <c r="J43" s="237"/>
      <c r="K43" s="237"/>
      <c r="L43" s="238"/>
    </row>
    <row r="44" spans="2:12">
      <c r="B44" s="240" t="s">
        <v>367</v>
      </c>
      <c r="C44" s="237"/>
      <c r="D44" s="237"/>
      <c r="E44" s="237"/>
      <c r="F44" s="237"/>
      <c r="G44" s="237"/>
      <c r="H44" s="237"/>
      <c r="I44" s="237"/>
      <c r="J44" s="237"/>
      <c r="K44" s="237"/>
      <c r="L44" s="238"/>
    </row>
    <row r="45" spans="2:12">
      <c r="B45" s="240"/>
      <c r="C45" s="237"/>
      <c r="D45" s="237"/>
      <c r="E45" s="237"/>
      <c r="F45" s="237"/>
      <c r="G45" s="237"/>
      <c r="H45" s="237"/>
      <c r="I45" s="237"/>
      <c r="J45" s="237"/>
      <c r="K45" s="237"/>
      <c r="L45" s="238"/>
    </row>
    <row r="46" spans="2:12">
      <c r="B46" s="240" t="s">
        <v>368</v>
      </c>
      <c r="C46" s="237"/>
      <c r="D46" s="237"/>
      <c r="E46" s="237"/>
      <c r="F46" s="237"/>
      <c r="G46" s="237"/>
      <c r="H46" s="237"/>
      <c r="I46" s="237"/>
      <c r="J46" s="237"/>
      <c r="K46" s="237"/>
      <c r="L46" s="238"/>
    </row>
    <row r="47" spans="2:12" ht="15.75">
      <c r="B47" s="244" t="s">
        <v>369</v>
      </c>
      <c r="C47" s="237"/>
      <c r="D47" s="237"/>
      <c r="E47" s="237"/>
      <c r="F47" s="237"/>
      <c r="G47" s="237"/>
      <c r="H47" s="237"/>
      <c r="I47" s="237"/>
      <c r="J47" s="237"/>
      <c r="K47" s="237"/>
      <c r="L47" s="238"/>
    </row>
    <row r="48" spans="2:12">
      <c r="B48" s="245"/>
      <c r="C48" s="246"/>
      <c r="D48" s="246"/>
      <c r="E48" s="246"/>
      <c r="F48" s="246"/>
      <c r="G48" s="246"/>
      <c r="H48" s="246"/>
      <c r="I48" s="246"/>
      <c r="J48" s="246"/>
      <c r="K48" s="246"/>
      <c r="L48" s="247"/>
    </row>
  </sheetData>
  <sheetProtection password="FD2D" sheet="1" objects="1"/>
  <mergeCells count="5">
    <mergeCell ref="B40:L41"/>
    <mergeCell ref="B5:L10"/>
    <mergeCell ref="B12:L18"/>
    <mergeCell ref="B20:L25"/>
    <mergeCell ref="B27:L32"/>
  </mergeCells>
  <phoneticPr fontId="10"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P37"/>
  <sheetViews>
    <sheetView showGridLines="0" zoomScale="85" zoomScaleNormal="75" zoomScaleSheetLayoutView="90" workbookViewId="0">
      <selection activeCell="B10" sqref="B10"/>
    </sheetView>
  </sheetViews>
  <sheetFormatPr defaultColWidth="8.85546875" defaultRowHeight="12.75"/>
  <cols>
    <col min="1" max="1" width="1.85546875" style="94" customWidth="1"/>
    <col min="2" max="2" width="12.28515625" style="94" customWidth="1"/>
    <col min="3" max="3" width="7.5703125" style="94" customWidth="1"/>
    <col min="4" max="5" width="4.5703125" style="94" customWidth="1"/>
    <col min="6" max="6" width="5.28515625" style="94" customWidth="1"/>
    <col min="7" max="9" width="7.5703125" style="94" customWidth="1"/>
    <col min="10" max="10" width="6" style="94" customWidth="1"/>
    <col min="11" max="15" width="7.5703125" style="94" customWidth="1"/>
    <col min="16" max="16" width="2.28515625" style="94" customWidth="1"/>
    <col min="17" max="16384" width="8.85546875" style="94"/>
  </cols>
  <sheetData>
    <row r="1" spans="2:16" ht="7.5" customHeight="1"/>
    <row r="2" spans="2:16" ht="22.15" customHeight="1">
      <c r="B2" s="541" t="s">
        <v>379</v>
      </c>
      <c r="C2" s="542"/>
      <c r="D2" s="542"/>
      <c r="E2" s="542"/>
      <c r="F2" s="542"/>
      <c r="G2" s="543"/>
      <c r="H2" s="1"/>
      <c r="I2" s="2" t="s">
        <v>147</v>
      </c>
      <c r="J2" s="1"/>
      <c r="K2" s="1"/>
      <c r="L2" s="220">
        <v>1</v>
      </c>
      <c r="M2" s="221">
        <v>6</v>
      </c>
      <c r="N2" s="36"/>
      <c r="O2" s="222"/>
      <c r="P2" s="32"/>
    </row>
    <row r="3" spans="2:16" ht="13.7" customHeight="1">
      <c r="B3" s="3"/>
      <c r="C3" s="4"/>
      <c r="D3" s="4"/>
      <c r="E3" s="4"/>
      <c r="F3" s="4"/>
      <c r="G3" s="4"/>
      <c r="H3" s="1"/>
      <c r="I3" s="5"/>
      <c r="J3" s="1"/>
      <c r="K3" s="1"/>
      <c r="L3" s="1"/>
      <c r="M3" s="1"/>
      <c r="N3" s="57"/>
      <c r="O3" s="90"/>
      <c r="P3" s="33"/>
    </row>
    <row r="4" spans="2:16" ht="16.899999999999999" customHeight="1">
      <c r="B4" s="2" t="s">
        <v>148</v>
      </c>
      <c r="C4" s="538" t="s">
        <v>380</v>
      </c>
      <c r="D4" s="538"/>
      <c r="E4" s="538"/>
      <c r="F4" s="538"/>
      <c r="G4" s="538"/>
      <c r="H4" s="1"/>
      <c r="I4" s="2" t="s">
        <v>109</v>
      </c>
      <c r="J4" s="1"/>
      <c r="K4" s="1"/>
      <c r="L4" s="540">
        <v>42195</v>
      </c>
      <c r="M4" s="540"/>
      <c r="N4" s="1"/>
      <c r="O4" s="1"/>
      <c r="P4" s="1"/>
    </row>
    <row r="5" spans="2:16" ht="13.7" customHeight="1">
      <c r="B5" s="1"/>
      <c r="C5" s="1"/>
      <c r="D5" s="1"/>
      <c r="E5" s="1"/>
      <c r="F5" s="1"/>
      <c r="G5" s="1"/>
      <c r="H5" s="1"/>
      <c r="I5" s="5"/>
      <c r="J5" s="1"/>
      <c r="K5" s="1"/>
      <c r="L5" s="1"/>
      <c r="M5" s="1"/>
      <c r="N5" s="1"/>
      <c r="O5" s="1"/>
      <c r="P5" s="1"/>
    </row>
    <row r="6" spans="2:16" ht="16.899999999999999" customHeight="1">
      <c r="B6" s="2" t="s">
        <v>149</v>
      </c>
      <c r="C6" s="538" t="s">
        <v>375</v>
      </c>
      <c r="D6" s="538"/>
      <c r="E6" s="538"/>
      <c r="F6" s="538"/>
      <c r="G6" s="538"/>
      <c r="H6" s="1"/>
      <c r="I6" s="2" t="s">
        <v>110</v>
      </c>
      <c r="J6" s="1"/>
      <c r="K6" s="1"/>
      <c r="L6" s="218" t="s">
        <v>374</v>
      </c>
      <c r="M6" s="6"/>
      <c r="N6" s="7" t="s">
        <v>151</v>
      </c>
      <c r="O6" s="219"/>
      <c r="P6" s="34"/>
    </row>
    <row r="7" spans="2:16" ht="15.75" customHeight="1">
      <c r="B7" s="1"/>
      <c r="C7" s="1"/>
      <c r="D7" s="1"/>
      <c r="E7" s="1"/>
      <c r="F7" s="1"/>
      <c r="G7" s="1"/>
      <c r="H7" s="1"/>
      <c r="I7" s="250"/>
      <c r="J7" s="250"/>
      <c r="K7" s="250"/>
      <c r="L7" s="1"/>
      <c r="M7" s="1"/>
      <c r="N7" s="1"/>
      <c r="O7" s="1"/>
      <c r="P7" s="1"/>
    </row>
    <row r="8" spans="2:16" ht="27" customHeight="1">
      <c r="B8" s="335" t="s">
        <v>111</v>
      </c>
      <c r="C8" s="335" t="s">
        <v>150</v>
      </c>
      <c r="D8" s="361" t="s">
        <v>120</v>
      </c>
      <c r="E8" s="539"/>
      <c r="F8" s="335" t="s">
        <v>146</v>
      </c>
      <c r="G8" s="335" t="s">
        <v>121</v>
      </c>
      <c r="H8" s="335" t="s">
        <v>112</v>
      </c>
      <c r="I8" s="335" t="s">
        <v>114</v>
      </c>
      <c r="J8" s="335" t="s">
        <v>115</v>
      </c>
      <c r="K8" s="8" t="s">
        <v>116</v>
      </c>
      <c r="L8" s="9" t="s">
        <v>117</v>
      </c>
      <c r="M8" s="9" t="s">
        <v>118</v>
      </c>
      <c r="N8" s="9" t="s">
        <v>119</v>
      </c>
      <c r="O8" s="10" t="s">
        <v>126</v>
      </c>
      <c r="P8" s="337" t="str">
        <f>IF(O2&lt;&gt;"","revision","")</f>
        <v/>
      </c>
    </row>
    <row r="9" spans="2:16" ht="27" customHeight="1">
      <c r="B9" s="336"/>
      <c r="C9" s="336"/>
      <c r="D9" s="87"/>
      <c r="E9" s="88"/>
      <c r="F9" s="336"/>
      <c r="G9" s="336"/>
      <c r="H9" s="336"/>
      <c r="I9" s="336"/>
      <c r="J9" s="336"/>
      <c r="K9" s="11" t="s">
        <v>113</v>
      </c>
      <c r="L9" s="12" t="s">
        <v>113</v>
      </c>
      <c r="M9" s="12" t="s">
        <v>113</v>
      </c>
      <c r="N9" s="12" t="s">
        <v>113</v>
      </c>
      <c r="O9" s="13" t="s">
        <v>113</v>
      </c>
      <c r="P9" s="338"/>
    </row>
    <row r="10" spans="2:16" ht="27" customHeight="1">
      <c r="B10" s="91" t="s">
        <v>376</v>
      </c>
      <c r="C10" s="210">
        <v>1</v>
      </c>
      <c r="D10" s="211" t="s">
        <v>373</v>
      </c>
      <c r="E10" s="212">
        <v>10</v>
      </c>
      <c r="F10" s="213">
        <v>2</v>
      </c>
      <c r="G10" s="213">
        <v>3</v>
      </c>
      <c r="H10" s="199">
        <v>6</v>
      </c>
      <c r="I10" s="200">
        <v>4600</v>
      </c>
      <c r="J10" s="214">
        <v>20</v>
      </c>
      <c r="K10" s="215">
        <v>4600</v>
      </c>
      <c r="L10" s="216"/>
      <c r="M10" s="216"/>
      <c r="N10" s="216"/>
      <c r="O10" s="217"/>
      <c r="P10" s="92"/>
    </row>
    <row r="11" spans="2:16" ht="27" customHeight="1">
      <c r="B11" s="91"/>
      <c r="C11" s="210">
        <v>2</v>
      </c>
      <c r="D11" s="211" t="s">
        <v>373</v>
      </c>
      <c r="E11" s="212">
        <v>10</v>
      </c>
      <c r="F11" s="213">
        <v>2</v>
      </c>
      <c r="G11" s="213">
        <v>25</v>
      </c>
      <c r="H11" s="199">
        <v>50</v>
      </c>
      <c r="I11" s="200">
        <v>700</v>
      </c>
      <c r="J11" s="214">
        <v>35</v>
      </c>
      <c r="K11" s="215">
        <v>500</v>
      </c>
      <c r="L11" s="216"/>
      <c r="M11" s="216"/>
      <c r="N11" s="216"/>
      <c r="O11" s="217"/>
      <c r="P11" s="92"/>
    </row>
    <row r="12" spans="2:16" ht="27" customHeight="1">
      <c r="B12" s="91"/>
      <c r="C12" s="210">
        <v>3</v>
      </c>
      <c r="D12" s="211" t="s">
        <v>373</v>
      </c>
      <c r="E12" s="212">
        <v>10</v>
      </c>
      <c r="F12" s="213">
        <v>2</v>
      </c>
      <c r="G12" s="213">
        <v>3</v>
      </c>
      <c r="H12" s="199">
        <v>6</v>
      </c>
      <c r="I12" s="200">
        <v>4350</v>
      </c>
      <c r="J12" s="214">
        <v>20</v>
      </c>
      <c r="K12" s="215">
        <v>4350</v>
      </c>
      <c r="L12" s="216"/>
      <c r="M12" s="216"/>
      <c r="N12" s="216"/>
      <c r="O12" s="217"/>
      <c r="P12" s="92"/>
    </row>
    <row r="13" spans="2:16" ht="27" customHeight="1">
      <c r="B13" s="91"/>
      <c r="C13" s="210">
        <v>4</v>
      </c>
      <c r="D13" s="211" t="s">
        <v>373</v>
      </c>
      <c r="E13" s="212">
        <v>10</v>
      </c>
      <c r="F13" s="213">
        <v>2</v>
      </c>
      <c r="G13" s="213">
        <v>23</v>
      </c>
      <c r="H13" s="199">
        <v>46</v>
      </c>
      <c r="I13" s="200">
        <v>700</v>
      </c>
      <c r="J13" s="214">
        <v>35</v>
      </c>
      <c r="K13" s="215">
        <v>500</v>
      </c>
      <c r="L13" s="216"/>
      <c r="M13" s="216"/>
      <c r="N13" s="216"/>
      <c r="O13" s="217"/>
      <c r="P13" s="92"/>
    </row>
    <row r="14" spans="2:16" ht="27" customHeight="1">
      <c r="B14" s="91"/>
      <c r="C14" s="210"/>
      <c r="D14" s="211"/>
      <c r="E14" s="212"/>
      <c r="F14" s="213"/>
      <c r="G14" s="213"/>
      <c r="H14" s="199">
        <v>0</v>
      </c>
      <c r="I14" s="200"/>
      <c r="J14" s="214"/>
      <c r="K14" s="215"/>
      <c r="L14" s="216"/>
      <c r="M14" s="216"/>
      <c r="N14" s="216"/>
      <c r="O14" s="217"/>
      <c r="P14" s="92"/>
    </row>
    <row r="15" spans="2:16" ht="27" customHeight="1">
      <c r="B15" s="91" t="s">
        <v>377</v>
      </c>
      <c r="C15" s="210">
        <v>5</v>
      </c>
      <c r="D15" s="211" t="s">
        <v>373</v>
      </c>
      <c r="E15" s="212">
        <v>12</v>
      </c>
      <c r="F15" s="213">
        <v>2</v>
      </c>
      <c r="G15" s="213">
        <v>2</v>
      </c>
      <c r="H15" s="199">
        <v>4</v>
      </c>
      <c r="I15" s="200">
        <v>4850</v>
      </c>
      <c r="J15" s="214">
        <v>38</v>
      </c>
      <c r="K15" s="215">
        <v>150</v>
      </c>
      <c r="L15" s="216">
        <v>4600</v>
      </c>
      <c r="M15" s="216">
        <v>150</v>
      </c>
      <c r="N15" s="216"/>
      <c r="O15" s="217"/>
      <c r="P15" s="92"/>
    </row>
    <row r="16" spans="2:16" ht="27" customHeight="1">
      <c r="B16" s="91"/>
      <c r="C16" s="210">
        <v>6</v>
      </c>
      <c r="D16" s="211" t="s">
        <v>373</v>
      </c>
      <c r="E16" s="212">
        <v>8</v>
      </c>
      <c r="F16" s="213">
        <v>2</v>
      </c>
      <c r="G16" s="213">
        <v>32</v>
      </c>
      <c r="H16" s="199">
        <v>64</v>
      </c>
      <c r="I16" s="200">
        <v>700</v>
      </c>
      <c r="J16" s="214">
        <v>61</v>
      </c>
      <c r="K16" s="215">
        <v>200</v>
      </c>
      <c r="L16" s="216">
        <v>100</v>
      </c>
      <c r="M16" s="216"/>
      <c r="N16" s="216"/>
      <c r="O16" s="217"/>
      <c r="P16" s="92"/>
    </row>
    <row r="17" spans="2:16" ht="27" customHeight="1">
      <c r="B17" s="91" t="s">
        <v>378</v>
      </c>
      <c r="C17" s="210">
        <v>7</v>
      </c>
      <c r="D17" s="211" t="s">
        <v>373</v>
      </c>
      <c r="E17" s="212">
        <v>12</v>
      </c>
      <c r="F17" s="213">
        <v>2</v>
      </c>
      <c r="G17" s="213">
        <v>2</v>
      </c>
      <c r="H17" s="199">
        <v>4</v>
      </c>
      <c r="I17" s="200">
        <v>4600</v>
      </c>
      <c r="J17" s="214">
        <v>38</v>
      </c>
      <c r="K17" s="215">
        <v>150</v>
      </c>
      <c r="L17" s="216">
        <v>4350</v>
      </c>
      <c r="M17" s="216">
        <v>150</v>
      </c>
      <c r="N17" s="216"/>
      <c r="O17" s="217"/>
      <c r="P17" s="92"/>
    </row>
    <row r="18" spans="2:16" ht="27" customHeight="1">
      <c r="B18" s="91"/>
      <c r="C18" s="210">
        <v>8</v>
      </c>
      <c r="D18" s="211" t="s">
        <v>373</v>
      </c>
      <c r="E18" s="212">
        <v>8</v>
      </c>
      <c r="F18" s="213">
        <v>2</v>
      </c>
      <c r="G18" s="213">
        <v>30</v>
      </c>
      <c r="H18" s="199">
        <v>60</v>
      </c>
      <c r="I18" s="200">
        <v>700</v>
      </c>
      <c r="J18" s="214">
        <v>61</v>
      </c>
      <c r="K18" s="215">
        <v>200</v>
      </c>
      <c r="L18" s="216">
        <v>100</v>
      </c>
      <c r="M18" s="216"/>
      <c r="N18" s="216"/>
      <c r="O18" s="217"/>
      <c r="P18" s="92"/>
    </row>
    <row r="19" spans="2:16" ht="27" customHeight="1">
      <c r="B19" s="91"/>
      <c r="C19" s="210"/>
      <c r="D19" s="211"/>
      <c r="E19" s="212"/>
      <c r="F19" s="213"/>
      <c r="G19" s="213"/>
      <c r="H19" s="199">
        <v>0</v>
      </c>
      <c r="I19" s="200"/>
      <c r="J19" s="214"/>
      <c r="K19" s="215"/>
      <c r="L19" s="216"/>
      <c r="M19" s="216"/>
      <c r="N19" s="216"/>
      <c r="O19" s="217"/>
      <c r="P19" s="92"/>
    </row>
    <row r="20" spans="2:16" s="95" customFormat="1" ht="27" customHeight="1">
      <c r="B20" s="91"/>
      <c r="C20" s="210"/>
      <c r="D20" s="211"/>
      <c r="E20" s="212"/>
      <c r="F20" s="213"/>
      <c r="G20" s="213"/>
      <c r="H20" s="199">
        <v>0</v>
      </c>
      <c r="I20" s="200"/>
      <c r="J20" s="214"/>
      <c r="K20" s="215"/>
      <c r="L20" s="216"/>
      <c r="M20" s="216"/>
      <c r="N20" s="216"/>
      <c r="O20" s="217"/>
      <c r="P20" s="92"/>
    </row>
    <row r="21" spans="2:16" s="95" customFormat="1" ht="27" customHeight="1">
      <c r="B21" s="91"/>
      <c r="C21" s="210"/>
      <c r="D21" s="211"/>
      <c r="E21" s="212"/>
      <c r="F21" s="213"/>
      <c r="G21" s="213"/>
      <c r="H21" s="199">
        <v>0</v>
      </c>
      <c r="I21" s="200"/>
      <c r="J21" s="214"/>
      <c r="K21" s="215"/>
      <c r="L21" s="216"/>
      <c r="M21" s="216"/>
      <c r="N21" s="216"/>
      <c r="O21" s="217"/>
      <c r="P21" s="92"/>
    </row>
    <row r="22" spans="2:16" s="95" customFormat="1" ht="27" customHeight="1">
      <c r="B22" s="91"/>
      <c r="C22" s="210"/>
      <c r="D22" s="211"/>
      <c r="E22" s="212"/>
      <c r="F22" s="213"/>
      <c r="G22" s="213"/>
      <c r="H22" s="199">
        <v>0</v>
      </c>
      <c r="I22" s="200"/>
      <c r="J22" s="214"/>
      <c r="K22" s="215"/>
      <c r="L22" s="216"/>
      <c r="M22" s="216"/>
      <c r="N22" s="216"/>
      <c r="O22" s="217"/>
      <c r="P22" s="92"/>
    </row>
    <row r="23" spans="2:16" s="95" customFormat="1" ht="27" customHeight="1">
      <c r="B23" s="91"/>
      <c r="C23" s="210"/>
      <c r="D23" s="211"/>
      <c r="E23" s="212"/>
      <c r="F23" s="213"/>
      <c r="G23" s="213"/>
      <c r="H23" s="199">
        <v>0</v>
      </c>
      <c r="I23" s="200"/>
      <c r="J23" s="214"/>
      <c r="K23" s="215"/>
      <c r="L23" s="216"/>
      <c r="M23" s="216"/>
      <c r="N23" s="216"/>
      <c r="O23" s="217"/>
      <c r="P23" s="92"/>
    </row>
    <row r="24" spans="2:16" s="95" customFormat="1" ht="27" customHeight="1">
      <c r="B24" s="91"/>
      <c r="C24" s="210"/>
      <c r="D24" s="211"/>
      <c r="E24" s="212"/>
      <c r="F24" s="213"/>
      <c r="G24" s="213"/>
      <c r="H24" s="199">
        <v>0</v>
      </c>
      <c r="I24" s="200"/>
      <c r="J24" s="214"/>
      <c r="K24" s="215"/>
      <c r="L24" s="216"/>
      <c r="M24" s="216"/>
      <c r="N24" s="216"/>
      <c r="O24" s="217"/>
      <c r="P24" s="92"/>
    </row>
    <row r="25" spans="2:16" s="95" customFormat="1" ht="27" customHeight="1">
      <c r="B25" s="91"/>
      <c r="C25" s="210"/>
      <c r="D25" s="211"/>
      <c r="E25" s="212"/>
      <c r="F25" s="213"/>
      <c r="G25" s="213"/>
      <c r="H25" s="199">
        <v>0</v>
      </c>
      <c r="I25" s="200"/>
      <c r="J25" s="214"/>
      <c r="K25" s="215"/>
      <c r="L25" s="216"/>
      <c r="M25" s="216"/>
      <c r="N25" s="216"/>
      <c r="O25" s="217"/>
      <c r="P25" s="92"/>
    </row>
    <row r="26" spans="2:16" s="95" customFormat="1" ht="27" customHeight="1">
      <c r="B26" s="91"/>
      <c r="C26" s="210"/>
      <c r="D26" s="211"/>
      <c r="E26" s="212"/>
      <c r="F26" s="213"/>
      <c r="G26" s="213"/>
      <c r="H26" s="199">
        <v>0</v>
      </c>
      <c r="I26" s="200"/>
      <c r="J26" s="214"/>
      <c r="K26" s="215"/>
      <c r="L26" s="216"/>
      <c r="M26" s="216"/>
      <c r="N26" s="216"/>
      <c r="O26" s="217"/>
      <c r="P26" s="92"/>
    </row>
    <row r="27" spans="2:16" s="95" customFormat="1" ht="27" customHeight="1">
      <c r="B27" s="91" t="s">
        <v>377</v>
      </c>
      <c r="C27" s="210">
        <v>14</v>
      </c>
      <c r="D27" s="211" t="s">
        <v>373</v>
      </c>
      <c r="E27" s="212">
        <v>10</v>
      </c>
      <c r="F27" s="213">
        <v>2</v>
      </c>
      <c r="G27" s="213">
        <v>2</v>
      </c>
      <c r="H27" s="199">
        <v>4</v>
      </c>
      <c r="I27" s="200">
        <v>8350</v>
      </c>
      <c r="J27" s="214">
        <v>38</v>
      </c>
      <c r="K27" s="215">
        <v>200</v>
      </c>
      <c r="L27" s="216">
        <v>8000</v>
      </c>
      <c r="M27" s="216">
        <v>200</v>
      </c>
      <c r="N27" s="216"/>
      <c r="O27" s="217"/>
      <c r="P27" s="92"/>
    </row>
    <row r="28" spans="2:16" s="95" customFormat="1" ht="27" customHeight="1">
      <c r="B28" s="91"/>
      <c r="C28" s="210">
        <v>15</v>
      </c>
      <c r="D28" s="211" t="s">
        <v>373</v>
      </c>
      <c r="E28" s="212">
        <v>8</v>
      </c>
      <c r="F28" s="213">
        <v>2</v>
      </c>
      <c r="G28" s="213">
        <v>55</v>
      </c>
      <c r="H28" s="199">
        <v>110</v>
      </c>
      <c r="I28" s="200">
        <v>1100</v>
      </c>
      <c r="J28" s="214">
        <v>61</v>
      </c>
      <c r="K28" s="215">
        <v>350</v>
      </c>
      <c r="L28" s="216">
        <v>150</v>
      </c>
      <c r="M28" s="216"/>
      <c r="N28" s="216"/>
      <c r="O28" s="217"/>
      <c r="P28" s="92"/>
    </row>
    <row r="29" spans="2:16" s="95" customFormat="1" ht="27" customHeight="1">
      <c r="B29" s="91" t="s">
        <v>378</v>
      </c>
      <c r="C29" s="210">
        <v>16</v>
      </c>
      <c r="D29" s="211" t="s">
        <v>373</v>
      </c>
      <c r="E29" s="212">
        <v>10</v>
      </c>
      <c r="F29" s="213">
        <v>3</v>
      </c>
      <c r="G29" s="213">
        <v>3</v>
      </c>
      <c r="H29" s="199">
        <v>9</v>
      </c>
      <c r="I29" s="200">
        <v>3900</v>
      </c>
      <c r="J29" s="214">
        <v>38</v>
      </c>
      <c r="K29" s="215">
        <v>200</v>
      </c>
      <c r="L29" s="216">
        <v>3550</v>
      </c>
      <c r="M29" s="216">
        <v>200</v>
      </c>
      <c r="N29" s="216"/>
      <c r="O29" s="217"/>
      <c r="P29" s="92"/>
    </row>
    <row r="30" spans="2:16" s="95" customFormat="1" ht="27" customHeight="1">
      <c r="B30" s="91"/>
      <c r="C30" s="210">
        <v>17</v>
      </c>
      <c r="D30" s="211" t="s">
        <v>373</v>
      </c>
      <c r="E30" s="212">
        <v>8</v>
      </c>
      <c r="F30" s="213">
        <v>3</v>
      </c>
      <c r="G30" s="213">
        <v>26</v>
      </c>
      <c r="H30" s="199">
        <v>78</v>
      </c>
      <c r="I30" s="200">
        <v>1100</v>
      </c>
      <c r="J30" s="214">
        <v>61</v>
      </c>
      <c r="K30" s="215">
        <v>350</v>
      </c>
      <c r="L30" s="216">
        <v>150</v>
      </c>
      <c r="M30" s="216"/>
      <c r="N30" s="216"/>
      <c r="O30" s="217"/>
      <c r="P30" s="92"/>
    </row>
    <row r="31" spans="2:16" ht="27" customHeight="1">
      <c r="B31" s="91"/>
      <c r="C31" s="210"/>
      <c r="D31" s="211"/>
      <c r="E31" s="212"/>
      <c r="F31" s="213"/>
      <c r="G31" s="213"/>
      <c r="H31" s="199">
        <v>0</v>
      </c>
      <c r="I31" s="200"/>
      <c r="J31" s="214"/>
      <c r="K31" s="215"/>
      <c r="L31" s="216"/>
      <c r="M31" s="216"/>
      <c r="N31" s="216"/>
      <c r="O31" s="217"/>
      <c r="P31" s="92"/>
    </row>
    <row r="32" spans="2:16" ht="27" customHeight="1">
      <c r="B32" s="91"/>
      <c r="C32" s="210"/>
      <c r="D32" s="211"/>
      <c r="E32" s="212"/>
      <c r="F32" s="213"/>
      <c r="G32" s="213"/>
      <c r="H32" s="199">
        <v>0</v>
      </c>
      <c r="I32" s="200"/>
      <c r="J32" s="214"/>
      <c r="K32" s="215"/>
      <c r="L32" s="216"/>
      <c r="M32" s="216"/>
      <c r="N32" s="216"/>
      <c r="O32" s="217"/>
      <c r="P32" s="92"/>
    </row>
    <row r="33" spans="2:16" ht="16.350000000000001" customHeight="1">
      <c r="B33" s="15" t="s">
        <v>152</v>
      </c>
      <c r="C33" s="1"/>
      <c r="D33" s="1"/>
      <c r="E33" s="1"/>
      <c r="F33" s="1"/>
      <c r="G33" s="1"/>
      <c r="H33" s="1"/>
      <c r="I33" s="1"/>
      <c r="J33" s="3"/>
      <c r="K33" s="16"/>
      <c r="L33" s="172" t="s">
        <v>217</v>
      </c>
      <c r="M33" s="17"/>
      <c r="N33" s="1"/>
      <c r="O33" s="18" t="s">
        <v>315</v>
      </c>
      <c r="P33" s="19"/>
    </row>
    <row r="34" spans="2:16" ht="16.350000000000001" customHeight="1">
      <c r="B34" s="15" t="s">
        <v>153</v>
      </c>
      <c r="C34" s="1"/>
      <c r="D34" s="1"/>
      <c r="E34" s="1"/>
      <c r="F34" s="1"/>
      <c r="G34" s="1"/>
      <c r="H34" s="15" t="s">
        <v>154</v>
      </c>
      <c r="I34" s="1"/>
      <c r="J34" s="1"/>
      <c r="K34" s="1"/>
      <c r="L34" s="1"/>
      <c r="M34" s="20"/>
      <c r="N34" s="1"/>
      <c r="O34" s="21" t="s">
        <v>210</v>
      </c>
      <c r="P34" s="22"/>
    </row>
    <row r="37" spans="2:16">
      <c r="B37" s="96"/>
      <c r="C37" s="96"/>
      <c r="D37" s="96"/>
      <c r="E37" s="96"/>
      <c r="F37" s="96"/>
      <c r="G37" s="96"/>
      <c r="H37" s="96"/>
      <c r="I37" s="96"/>
    </row>
  </sheetData>
  <mergeCells count="13">
    <mergeCell ref="B2:G2"/>
    <mergeCell ref="B8:B9"/>
    <mergeCell ref="I8:I9"/>
    <mergeCell ref="C8:C9"/>
    <mergeCell ref="H8:H9"/>
    <mergeCell ref="G8:G9"/>
    <mergeCell ref="C4:G4"/>
    <mergeCell ref="C6:G6"/>
    <mergeCell ref="P8:P9"/>
    <mergeCell ref="F8:F9"/>
    <mergeCell ref="D8:E8"/>
    <mergeCell ref="L4:M4"/>
    <mergeCell ref="J8:J9"/>
  </mergeCells>
  <phoneticPr fontId="10" type="noConversion"/>
  <conditionalFormatting sqref="K10:K32">
    <cfRule type="expression" dxfId="4" priority="1" stopIfTrue="1">
      <formula>$J10=99</formula>
    </cfRule>
  </conditionalFormatting>
  <conditionalFormatting sqref="L10:L32">
    <cfRule type="expression" dxfId="3" priority="2" stopIfTrue="1">
      <formula>OR($J10=37,$J10=51)</formula>
    </cfRule>
  </conditionalFormatting>
  <conditionalFormatting sqref="M10:M32">
    <cfRule type="expression" dxfId="2" priority="3" stopIfTrue="1">
      <formula>OR($J10=38,$J10=41,$J10=62,$J10=39,$J10=45,$J10=49,$J10=54)</formula>
    </cfRule>
  </conditionalFormatting>
  <conditionalFormatting sqref="N10:N32">
    <cfRule type="expression" dxfId="1" priority="4" stopIfTrue="1">
      <formula>OR($J10=52,$J10=85)</formula>
    </cfRule>
  </conditionalFormatting>
  <conditionalFormatting sqref="O10:O32">
    <cfRule type="expression" dxfId="0" priority="5" stopIfTrue="1">
      <formula>OR($J10=43,$J10=53,$J10=55)</formula>
    </cfRule>
  </conditionalFormatting>
  <printOptions horizontalCentered="1" verticalCentered="1"/>
  <pageMargins left="0.39370078740157483" right="0.39370078740157483" top="0.59055118110236227" bottom="0.59055118110236227" header="0.31496062992125984" footer="0.27559055118110237"/>
  <pageSetup paperSize="9" scale="91" orientation="portrait" horizontalDpi="240" verticalDpi="144" r:id="rId1"/>
  <headerFooter alignWithMargins="0"/>
  <drawing r:id="rId2"/>
  <pictur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B38"/>
  <sheetViews>
    <sheetView zoomScale="85" workbookViewId="0"/>
  </sheetViews>
  <sheetFormatPr defaultColWidth="8.85546875" defaultRowHeight="12.75"/>
  <cols>
    <col min="1" max="1" width="2.140625" style="297" customWidth="1"/>
    <col min="2" max="16384" width="8.85546875" style="297"/>
  </cols>
  <sheetData>
    <row r="2" spans="2:2" ht="18">
      <c r="B2" s="301" t="s">
        <v>305</v>
      </c>
    </row>
    <row r="3" spans="2:2" ht="9" customHeight="1"/>
    <row r="4" spans="2:2">
      <c r="B4" s="298" t="s">
        <v>317</v>
      </c>
    </row>
    <row r="5" spans="2:2">
      <c r="B5" s="297" t="s">
        <v>52</v>
      </c>
    </row>
    <row r="7" spans="2:2">
      <c r="B7" s="298" t="s">
        <v>302</v>
      </c>
    </row>
    <row r="8" spans="2:2">
      <c r="B8" s="297" t="s">
        <v>306</v>
      </c>
    </row>
    <row r="9" spans="2:2">
      <c r="B9" s="297" t="s">
        <v>53</v>
      </c>
    </row>
    <row r="10" spans="2:2">
      <c r="B10" s="297" t="s">
        <v>54</v>
      </c>
    </row>
    <row r="12" spans="2:2">
      <c r="B12" s="298" t="s">
        <v>307</v>
      </c>
    </row>
    <row r="13" spans="2:2">
      <c r="B13" s="297" t="s">
        <v>308</v>
      </c>
    </row>
    <row r="14" spans="2:2">
      <c r="B14" s="297" t="s">
        <v>316</v>
      </c>
    </row>
    <row r="15" spans="2:2">
      <c r="B15" s="297" t="s">
        <v>309</v>
      </c>
    </row>
    <row r="16" spans="2:2">
      <c r="B16" s="297" t="s">
        <v>310</v>
      </c>
    </row>
    <row r="17" spans="2:2">
      <c r="B17" s="297" t="s">
        <v>311</v>
      </c>
    </row>
    <row r="18" spans="2:2">
      <c r="B18" s="297" t="s">
        <v>312</v>
      </c>
    </row>
    <row r="20" spans="2:2">
      <c r="B20" s="298" t="s">
        <v>313</v>
      </c>
    </row>
    <row r="21" spans="2:2">
      <c r="B21" s="297" t="s">
        <v>314</v>
      </c>
    </row>
    <row r="23" spans="2:2">
      <c r="B23" s="298" t="s">
        <v>319</v>
      </c>
    </row>
    <row r="24" spans="2:2">
      <c r="B24" s="297" t="s">
        <v>55</v>
      </c>
    </row>
    <row r="25" spans="2:2">
      <c r="B25" s="297" t="s">
        <v>56</v>
      </c>
    </row>
    <row r="26" spans="2:2">
      <c r="B26" s="297" t="s">
        <v>57</v>
      </c>
    </row>
    <row r="34" spans="2:2">
      <c r="B34" s="299" t="s">
        <v>318</v>
      </c>
    </row>
    <row r="35" spans="2:2">
      <c r="B35" s="300" t="s">
        <v>58</v>
      </c>
    </row>
    <row r="36" spans="2:2">
      <c r="B36" s="300" t="s">
        <v>59</v>
      </c>
    </row>
    <row r="37" spans="2:2">
      <c r="B37" s="300" t="s">
        <v>60</v>
      </c>
    </row>
    <row r="38" spans="2:2">
      <c r="B38" s="300" t="s">
        <v>61</v>
      </c>
    </row>
  </sheetData>
  <phoneticPr fontId="1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SCHEDULE</vt:lpstr>
      <vt:lpstr>Shape Codes</vt:lpstr>
      <vt:lpstr>Database</vt:lpstr>
      <vt:lpstr>Help</vt:lpstr>
      <vt:lpstr>Setup</vt:lpstr>
      <vt:lpstr>About</vt:lpstr>
      <vt:lpstr>More</vt:lpstr>
      <vt:lpstr>page</vt:lpstr>
      <vt:lpstr>Info</vt:lpstr>
      <vt:lpstr>check</vt:lpstr>
      <vt:lpstr>schedule nos</vt:lpstr>
      <vt:lpstr>SCHEDULE!Print_Area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BAR SCHEDULE FOR EXCEL 97</dc:title>
  <dc:subject>Bar schedule complying with BS 4466</dc:subject>
  <dc:creator>© 1999-2002 Chris Buczkowski</dc:creator>
  <cp:keywords>reinforcement,bar,schedule,BS4466,rebar,concrete,steel,bending</cp:keywords>
  <dc:description>Spreadsheet for the scheduling of steel for the reinforcement of concrete. The spreadsheet has been developed to comply with BS 4466 : 1989 and Amendment No. 1 published 28 February 1990.</dc:description>
  <cp:lastModifiedBy>Alexandra</cp:lastModifiedBy>
  <cp:lastPrinted>2008-07-29T05:15:28Z</cp:lastPrinted>
  <dcterms:created xsi:type="dcterms:W3CDTF">1998-03-20T22:03:11Z</dcterms:created>
  <dcterms:modified xsi:type="dcterms:W3CDTF">2015-07-22T08:28:26Z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CJB</vt:lpwstr>
  </property>
</Properties>
</file>